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tecore arbejde\"/>
    </mc:Choice>
  </mc:AlternateContent>
  <xr:revisionPtr revIDLastSave="0" documentId="8_{9A1845C2-4BBA-46F3-B1BD-ADBA978B69D2}" xr6:coauthVersionLast="47" xr6:coauthVersionMax="47" xr10:uidLastSave="{00000000-0000-0000-0000-000000000000}"/>
  <bookViews>
    <workbookView xWindow="36864" yWindow="2052" windowWidth="23040" windowHeight="12204" activeTab="1" xr2:uid="{386C393D-17F8-413B-91EF-0A6DA6643C7E}"/>
  </bookViews>
  <sheets>
    <sheet name="Md løn med udl.+grl+14 dags" sheetId="1" r:id="rId1"/>
    <sheet name="grl Md løn med udl.+grl+14 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6" i="1" l="1"/>
  <c r="F101" i="1"/>
  <c r="F100" i="1"/>
  <c r="F99" i="1"/>
  <c r="F94" i="1"/>
  <c r="F93" i="1"/>
  <c r="F92" i="1"/>
  <c r="E95" i="1" s="1"/>
  <c r="E91" i="1"/>
  <c r="F90" i="1"/>
  <c r="C104" i="1" s="1"/>
  <c r="E104" i="1" s="1"/>
  <c r="D81" i="1"/>
  <c r="F76" i="1"/>
  <c r="F75" i="1"/>
  <c r="F74" i="1"/>
  <c r="F67" i="1"/>
  <c r="E66" i="1"/>
  <c r="F65" i="1"/>
  <c r="H96" i="1" s="1"/>
  <c r="J96" i="1" s="1"/>
  <c r="C52" i="1"/>
  <c r="E52" i="1" s="1"/>
  <c r="E51" i="1"/>
  <c r="F48" i="1"/>
  <c r="F47" i="1"/>
  <c r="F46" i="1"/>
  <c r="E42" i="1"/>
  <c r="F42" i="1" s="1"/>
  <c r="F41" i="1"/>
  <c r="F40" i="1"/>
  <c r="F39" i="1"/>
  <c r="F43" i="1" s="1"/>
  <c r="E23" i="1"/>
  <c r="C23" i="1"/>
  <c r="C24" i="1" s="1"/>
  <c r="E24" i="1" s="1"/>
  <c r="F20" i="1"/>
  <c r="F19" i="1"/>
  <c r="F18" i="1"/>
  <c r="E14" i="1"/>
  <c r="F14" i="1" s="1"/>
  <c r="F13" i="1"/>
  <c r="F12" i="1"/>
  <c r="F11" i="1"/>
  <c r="H43" i="1" s="1"/>
  <c r="J43" i="1" s="1"/>
  <c r="C54" i="2"/>
  <c r="C53" i="2"/>
  <c r="C106" i="2"/>
  <c r="K79" i="2"/>
  <c r="I79" i="2"/>
  <c r="D83" i="2"/>
  <c r="C81" i="2"/>
  <c r="F15" i="2"/>
  <c r="D108" i="2"/>
  <c r="G103" i="2"/>
  <c r="G102" i="2"/>
  <c r="G101" i="2"/>
  <c r="G96" i="2"/>
  <c r="G95" i="2"/>
  <c r="G94" i="2"/>
  <c r="G92" i="2"/>
  <c r="F93" i="2" s="1"/>
  <c r="D82" i="2"/>
  <c r="G78" i="2"/>
  <c r="G77" i="2"/>
  <c r="G76" i="2"/>
  <c r="G69" i="2"/>
  <c r="G67" i="2"/>
  <c r="G50" i="2"/>
  <c r="G49" i="2"/>
  <c r="G48" i="2"/>
  <c r="G42" i="2"/>
  <c r="G41" i="2"/>
  <c r="G40" i="2"/>
  <c r="G21" i="2"/>
  <c r="G20" i="2"/>
  <c r="G19" i="2"/>
  <c r="G13" i="2"/>
  <c r="G12" i="2"/>
  <c r="G11" i="2"/>
  <c r="F15" i="1" l="1"/>
  <c r="I7" i="1"/>
  <c r="C17" i="1"/>
  <c r="F17" i="1" s="1"/>
  <c r="I8" i="1" s="1"/>
  <c r="F95" i="1"/>
  <c r="C105" i="1"/>
  <c r="E25" i="1"/>
  <c r="F49" i="1"/>
  <c r="I35" i="1"/>
  <c r="I38" i="1" s="1"/>
  <c r="C45" i="1"/>
  <c r="F45" i="1" s="1"/>
  <c r="I36" i="1" s="1"/>
  <c r="E53" i="1"/>
  <c r="E54" i="1" s="1"/>
  <c r="C79" i="1"/>
  <c r="E79" i="1" s="1"/>
  <c r="F96" i="1"/>
  <c r="E70" i="1"/>
  <c r="H76" i="1"/>
  <c r="J76" i="1" s="1"/>
  <c r="I88" i="1"/>
  <c r="I90" i="1" s="1"/>
  <c r="I99" i="2"/>
  <c r="K99" i="2" s="1"/>
  <c r="F97" i="2"/>
  <c r="G97" i="2" s="1"/>
  <c r="F43" i="2"/>
  <c r="G43" i="2" s="1"/>
  <c r="G45" i="2" s="1"/>
  <c r="I45" i="2"/>
  <c r="K45" i="2" s="1"/>
  <c r="F72" i="2"/>
  <c r="F68" i="2"/>
  <c r="I9" i="1" l="1"/>
  <c r="I12" i="1" s="1"/>
  <c r="E27" i="1"/>
  <c r="E26" i="1"/>
  <c r="I10" i="1" s="1"/>
  <c r="F21" i="1"/>
  <c r="C80" i="1"/>
  <c r="F70" i="1"/>
  <c r="C98" i="1"/>
  <c r="F98" i="1" s="1"/>
  <c r="E105" i="1"/>
  <c r="E106" i="1" s="1"/>
  <c r="C107" i="2"/>
  <c r="F54" i="2"/>
  <c r="F106" i="2"/>
  <c r="J90" i="2"/>
  <c r="J92" i="2" s="1"/>
  <c r="G98" i="2"/>
  <c r="C24" i="2"/>
  <c r="G15" i="2"/>
  <c r="F107" i="2"/>
  <c r="C100" i="2"/>
  <c r="G100" i="2" s="1"/>
  <c r="J91" i="2" s="1"/>
  <c r="F81" i="2"/>
  <c r="G72" i="2"/>
  <c r="C82" i="2"/>
  <c r="C47" i="2"/>
  <c r="G47" i="2" s="1"/>
  <c r="J37" i="2" s="1"/>
  <c r="J36" i="2"/>
  <c r="J39" i="2" s="1"/>
  <c r="I89" i="1" l="1"/>
  <c r="F102" i="1"/>
  <c r="E80" i="1"/>
  <c r="E81" i="1" s="1"/>
  <c r="F71" i="1"/>
  <c r="I63" i="1"/>
  <c r="I65" i="1" s="1"/>
  <c r="F77" i="1"/>
  <c r="C73" i="1"/>
  <c r="F73" i="1" s="1"/>
  <c r="I64" i="1" s="1"/>
  <c r="F53" i="2"/>
  <c r="F108" i="2"/>
  <c r="G51" i="2"/>
  <c r="G104" i="2"/>
  <c r="F55" i="2"/>
  <c r="F56" i="2" s="1"/>
  <c r="C25" i="2"/>
  <c r="F25" i="2" s="1"/>
  <c r="F24" i="2"/>
  <c r="F26" i="2" s="1"/>
  <c r="F82" i="2"/>
  <c r="F83" i="2" s="1"/>
  <c r="C75" i="2"/>
  <c r="G75" i="2" s="1"/>
  <c r="J66" i="2" s="1"/>
  <c r="J65" i="2"/>
  <c r="J67" i="2" s="1"/>
  <c r="G73" i="2"/>
  <c r="C18" i="2"/>
  <c r="G18" i="2" s="1"/>
  <c r="J8" i="2" s="1"/>
  <c r="J7" i="2"/>
  <c r="G16" i="2"/>
  <c r="G79" i="2" l="1"/>
  <c r="G22" i="2"/>
  <c r="F27" i="2"/>
  <c r="J10" i="2" s="1"/>
  <c r="J9" i="2"/>
  <c r="J12" i="2" s="1"/>
  <c r="F28" i="2" l="1"/>
</calcChain>
</file>

<file path=xl/sharedStrings.xml><?xml version="1.0" encoding="utf-8"?>
<sst xmlns="http://schemas.openxmlformats.org/spreadsheetml/2006/main" count="326" uniqueCount="134">
  <si>
    <t>Lønart</t>
  </si>
  <si>
    <t>Beskrivelse</t>
  </si>
  <si>
    <t>Enheder</t>
  </si>
  <si>
    <t>Sats</t>
  </si>
  <si>
    <t>Beløb</t>
  </si>
  <si>
    <t>Løn</t>
  </si>
  <si>
    <t>Skattefradrag</t>
  </si>
  <si>
    <t>A-skat</t>
  </si>
  <si>
    <t>Lønnen er til disposition d. dato på bankkonto 1234 56789123456</t>
  </si>
  <si>
    <t>Lønperiode</t>
  </si>
  <si>
    <t xml:space="preserve">Fri Internet </t>
  </si>
  <si>
    <t xml:space="preserve">Fri telefon </t>
  </si>
  <si>
    <t>CVR</t>
  </si>
  <si>
    <t>Navn</t>
  </si>
  <si>
    <t>AMA</t>
  </si>
  <si>
    <t xml:space="preserve">A-indkomst incl goder </t>
  </si>
  <si>
    <t>Indberetning A1</t>
  </si>
  <si>
    <t>1/1-31/1-2023</t>
  </si>
  <si>
    <t>Fri bil Januar 2023</t>
  </si>
  <si>
    <t>Januar 2023</t>
  </si>
  <si>
    <t xml:space="preserve">Fri bil </t>
  </si>
  <si>
    <t>eksempel månedslønnet med frie goder fra 1. januar 2023:</t>
  </si>
  <si>
    <t>Ferieberettiget løn total</t>
  </si>
  <si>
    <t>Netto Udenlandsk pension til pensionsudbyder</t>
  </si>
  <si>
    <t>Nettoløn udbetalt til medarbejder</t>
  </si>
  <si>
    <t>A-indkomst Udenlandsk Pension</t>
  </si>
  <si>
    <t>A-skat Udenlandsk Pension</t>
  </si>
  <si>
    <t>A-skat Udenlandsk pension (arbejdsgiver + medarbejder andel)</t>
  </si>
  <si>
    <t>Total Udenlandsk pension</t>
  </si>
  <si>
    <t>total A-indkomst</t>
  </si>
  <si>
    <t>2/1 - 15/1-2023</t>
  </si>
  <si>
    <t>januar</t>
  </si>
  <si>
    <t>Total A-indkomst</t>
  </si>
  <si>
    <t>Fri bil 2/1 - 15/1 2023</t>
  </si>
  <si>
    <t>2/1 - 15/1-23</t>
  </si>
  <si>
    <t>Indbetales til pensionsudbyder</t>
  </si>
  <si>
    <t xml:space="preserve">14 dages løn </t>
  </si>
  <si>
    <t>Med udenlandsk pension arbejdsgiver og medarbejder andel:</t>
  </si>
  <si>
    <t>AMA (privat 1,1%)</t>
  </si>
  <si>
    <t xml:space="preserve">Både arbejdsgiverandel og medarbejderandel. </t>
  </si>
  <si>
    <t>Med 7 % lønmodtagerandel</t>
  </si>
  <si>
    <t>*</t>
  </si>
  <si>
    <t xml:space="preserve">Arbejdsgiver og lønmodtager aftaler helt selv procent størrelsen. </t>
  </si>
  <si>
    <t>Mindst</t>
  </si>
  <si>
    <t>Obligatorisk pension i år</t>
  </si>
  <si>
    <t>Opsparingsgrundlaget udgøres af en persons samlede A- og B-indkomst.</t>
  </si>
  <si>
    <t>Total  pension</t>
  </si>
  <si>
    <t>Pension til pensionsudbyder i Grønland</t>
  </si>
  <si>
    <t>Eksempel 14 dagsløn med pension i Grønland</t>
  </si>
  <si>
    <t>Pension, medarbejder andel</t>
  </si>
  <si>
    <t>Obligatorisk pension år</t>
  </si>
  <si>
    <t>Info: Pr. lønseddel:</t>
  </si>
  <si>
    <t>Jf. lov nr 21 af 28. november 2016 §2:</t>
  </si>
  <si>
    <t>Pr. lønseddel:</t>
  </si>
  <si>
    <t>IIN</t>
  </si>
  <si>
    <t>ateq</t>
  </si>
  <si>
    <t>Assersuut qaammammusialik akeqanngitsumik ajunngitsorsialik 1. januar 2023 aallarnerfigalugu:</t>
  </si>
  <si>
    <t>Qaammat akissarsiorfik</t>
  </si>
  <si>
    <t>Nassuiaat sukumiisoq A1</t>
  </si>
  <si>
    <t>Isertitat A-t akeqanngitsumik ajunngitsorsiat ilanngullugit</t>
  </si>
  <si>
    <t>Akileraarut</t>
  </si>
  <si>
    <t>Sulisoqarnermut akitsuut (namminersortunut 1,1%)</t>
  </si>
  <si>
    <t>Soraarnerussutisiaqarnissamut aaqqissuussinermut ileqqaagassat ukiukkaarlugit</t>
  </si>
  <si>
    <t>Minnerpaamik</t>
  </si>
  <si>
    <t>Nunanut allanut soraarnerussutisiassat akileraaruserneqartinnagit tamakkiisut</t>
  </si>
  <si>
    <t>Akileraarut - Nunanut allanut soraarnerussitiassat</t>
  </si>
  <si>
    <t>aningaasat amerlassusaat</t>
  </si>
  <si>
    <t>Akissarsiaq</t>
  </si>
  <si>
    <t>Akissarsiat tamakkiisut feriaqarnersiutissat</t>
  </si>
  <si>
    <t>Akeqanngitsumik biileqartitaaneq januar 2023</t>
  </si>
  <si>
    <t>Akeqanngitsumik internet-teqarneq</t>
  </si>
  <si>
    <t>Aningaasarsiat tamakkiisut A-t</t>
  </si>
  <si>
    <t>Akileraarutinut ilanngaat</t>
  </si>
  <si>
    <t>Akileraarutit</t>
  </si>
  <si>
    <t>Akeqanngitsumik biileqarneq</t>
  </si>
  <si>
    <t>Akeqanngitsumik oqarasuaateqarneq</t>
  </si>
  <si>
    <t>Aningaasartuutissat ilanngaatigereerlugit sulisumut tunniunneqartussat</t>
  </si>
  <si>
    <t>Nunanut allanut soraarnerussutisiassat akileraaruserneqartinnatik tamakkiisut</t>
  </si>
  <si>
    <t>Akissarsiat ulloq una bankkonto-mut uunga ikineqarpoq 1234 56789123456</t>
  </si>
  <si>
    <t>Sulisitsisup aamma akissarsiortup namminneq iluminni isumaqatigiissutigissavaat procenti qassasiussanersoq</t>
  </si>
  <si>
    <t>Pineqartut</t>
  </si>
  <si>
    <t>Amerlassutsit</t>
  </si>
  <si>
    <t>Kisitsit</t>
  </si>
  <si>
    <t>Soraarnerussutisiassat tamakkiisut</t>
  </si>
  <si>
    <t>Ilanngaatissat ilanngaatereerlugit Nunanut allanut soraarnerussutisiassat ileqqaarfimmut ingerlateqqitassat</t>
  </si>
  <si>
    <t>Nunanut allanut soraarnerussutisiaqarneq, sulisitsisup ileqqaagai*</t>
  </si>
  <si>
    <t>Akileraarut - Nunanut allanut soraarnerussitiassat (sulisitsisup + sulisullu)</t>
  </si>
  <si>
    <t>Nunanut allanut soraarnerussutisiassat ileqqaarneri, sulisitsisup aamma sulisup ileqqaagai</t>
  </si>
  <si>
    <t>Nunanut allanut soraarnerussutisiaqarneq, sulisup ileqqaagai*</t>
  </si>
  <si>
    <t>Ulluni 14-ni Akissarsiat</t>
  </si>
  <si>
    <t>Piffissami</t>
  </si>
  <si>
    <t>Akeqanngitsumik biileqarneq piffissami 2/1 - 15/1 2023</t>
  </si>
  <si>
    <t>Soraarnerussutisiassanut ileqqaakkat, sulisup ileqqaagai</t>
  </si>
  <si>
    <t>Soraarnerussutisiassat soraarnerussutisiaqarfimmut katersuisumut ingerlateqqitassat</t>
  </si>
  <si>
    <t>Akissarsiap allagartaa pineqartoq</t>
  </si>
  <si>
    <t xml:space="preserve">Soraarnerussutisiaqarnissamut aaqqissuussamut pinngitsoorani ilaanissamut 2023-imi </t>
  </si>
  <si>
    <t xml:space="preserve">akissarsiortup ileqqaagassaanut katersuinissamut  tunngavissaa: </t>
  </si>
  <si>
    <t>Ileqqaarnissamut inuup isertitai A-t aamma B-t tamakkiisunit naatsorsorneqassapput</t>
  </si>
  <si>
    <t xml:space="preserve">Soraarnerussutisiassat procentia aamma tunngavia atorfininnermi isumaqatigiissummiit isumaqatigiissummut </t>
  </si>
  <si>
    <t>assigiinneq ajorpoq, unali takussutissiaannartut assersuutaannaavoq</t>
  </si>
  <si>
    <t>Sulisitsisup aamma akissarsiortup namminneq iluminni isumaqatigiissutigissavaat procenti qassiussanersoq</t>
  </si>
  <si>
    <r>
      <t xml:space="preserve">Nunanut allanut soraarnerussutisiaqarneq, </t>
    </r>
    <r>
      <rPr>
        <b/>
        <sz val="11"/>
        <color theme="1"/>
        <rFont val="Calibri"/>
        <family val="2"/>
        <scheme val="minor"/>
      </rPr>
      <t>sulisup ileqqaagai</t>
    </r>
  </si>
  <si>
    <t>Ilanngartugassat ilanngaatigereerlugit sulisumut tunniunneqartussat</t>
  </si>
  <si>
    <t>Kalaallit Nunaanni soraarnerussutisiat - assersuut SULISUP kisimi ileqqaagai</t>
  </si>
  <si>
    <r>
      <t xml:space="preserve">Soraarnerussutisiassanut ileqqaakkat, </t>
    </r>
    <r>
      <rPr>
        <b/>
        <sz val="11"/>
        <color theme="1"/>
        <rFont val="Calibri"/>
        <family val="2"/>
        <scheme val="minor"/>
      </rPr>
      <t>sulisup ileqqaagai</t>
    </r>
  </si>
  <si>
    <r>
      <rPr>
        <b/>
        <sz val="11"/>
        <color theme="1"/>
        <rFont val="Calibri"/>
        <family val="2"/>
        <scheme val="minor"/>
      </rPr>
      <t>Sulisitsisup</t>
    </r>
    <r>
      <rPr>
        <sz val="11"/>
        <color theme="1"/>
        <rFont val="Calibri"/>
        <family val="2"/>
        <scheme val="minor"/>
      </rPr>
      <t xml:space="preserve"> soraarnerussutisiassanut sulisoq sinnerlugu ileqqaagai</t>
    </r>
  </si>
  <si>
    <t>Soraarnerussutisiassat soraarnerussutisiaqarfimmut katersuisumut ingerlateqqitassat Kalaallit Nunaanni</t>
  </si>
  <si>
    <r>
      <rPr>
        <b/>
        <sz val="11"/>
        <color theme="1"/>
        <rFont val="Calibri"/>
        <family val="2"/>
        <scheme val="minor"/>
      </rPr>
      <t xml:space="preserve">Minnerpaamik </t>
    </r>
    <r>
      <rPr>
        <sz val="11"/>
        <color theme="1"/>
        <rFont val="Calibri"/>
        <family val="2"/>
        <scheme val="minor"/>
      </rPr>
      <t xml:space="preserve">Soraarnerussutisiaqarnissamut aaqqissuussamut pinngitsoorani ilaanissamut 2023-imi </t>
    </r>
  </si>
  <si>
    <t>*§2 Inatsit nr. 21.  28. november 2016-meersoq najoqqutaralugu:</t>
  </si>
  <si>
    <r>
      <rPr>
        <b/>
        <sz val="11"/>
        <color theme="1"/>
        <rFont val="Calibri"/>
        <family val="2"/>
        <scheme val="minor"/>
      </rPr>
      <t>Sulisitsisup</t>
    </r>
    <r>
      <rPr>
        <sz val="11"/>
        <color theme="1"/>
        <rFont val="Calibri"/>
        <family val="2"/>
        <scheme val="minor"/>
      </rPr>
      <t xml:space="preserve"> soraarnerussutisiassanut sulisoq sinnerlugu ileqqaagai*</t>
    </r>
  </si>
  <si>
    <r>
      <rPr>
        <b/>
        <sz val="11"/>
        <color theme="1"/>
        <rFont val="Calibri"/>
        <family val="2"/>
        <scheme val="minor"/>
      </rPr>
      <t>Sulisup</t>
    </r>
    <r>
      <rPr>
        <sz val="11"/>
        <color theme="1"/>
        <rFont val="Calibri"/>
        <family val="2"/>
        <scheme val="minor"/>
      </rPr>
      <t xml:space="preserve"> soraarnerussutisiassanut ileqqaagai*</t>
    </r>
  </si>
  <si>
    <r>
      <t xml:space="preserve">Assersuut ulluni 14-ni akissarsiat soraarnerussutisiat Kalaallit Nunaanni ileqqaakkat, </t>
    </r>
    <r>
      <rPr>
        <b/>
        <sz val="11"/>
        <color theme="1"/>
        <rFont val="Calibri"/>
        <family val="2"/>
        <scheme val="minor"/>
      </rPr>
      <t>SULISITSISUP</t>
    </r>
    <r>
      <rPr>
        <sz val="11"/>
        <color theme="1"/>
        <rFont val="Calibri"/>
        <family val="2"/>
        <scheme val="minor"/>
      </rPr>
      <t xml:space="preserve"> aamma </t>
    </r>
    <r>
      <rPr>
        <b/>
        <sz val="11"/>
        <color theme="1"/>
        <rFont val="Calibri"/>
        <family val="2"/>
        <scheme val="minor"/>
      </rPr>
      <t>SULISUP</t>
    </r>
    <r>
      <rPr>
        <sz val="11"/>
        <color theme="1"/>
        <rFont val="Calibri"/>
        <family val="2"/>
        <scheme val="minor"/>
      </rPr>
      <t xml:space="preserve"> ileqqaagai</t>
    </r>
  </si>
  <si>
    <r>
      <rPr>
        <b/>
        <sz val="11"/>
        <color theme="1"/>
        <rFont val="Calibri"/>
        <family val="2"/>
        <scheme val="minor"/>
      </rPr>
      <t>Sulisup</t>
    </r>
    <r>
      <rPr>
        <sz val="11"/>
        <color theme="1"/>
        <rFont val="Calibri"/>
        <family val="2"/>
        <scheme val="minor"/>
      </rPr>
      <t xml:space="preserve"> soraarnerussutisiassanut ileqqaagai *</t>
    </r>
  </si>
  <si>
    <t>assersuut ulluni 14-ni akissarsiat soraarnerussutisiat Kalaallit Nunaanni ileqqaakkat SULISUP ileqqaagai 7%</t>
  </si>
  <si>
    <t xml:space="preserve">*Soraarnerussutisiassat procentia aamma tunngavia atorfininnermi isumaqatigiissummiit isumaqatigiissummut </t>
  </si>
  <si>
    <r>
      <t xml:space="preserve">Udenlandsk pension, </t>
    </r>
    <r>
      <rPr>
        <b/>
        <sz val="11"/>
        <color theme="1"/>
        <rFont val="Calibri"/>
        <family val="2"/>
        <scheme val="minor"/>
      </rPr>
      <t>medarbejder andel</t>
    </r>
  </si>
  <si>
    <r>
      <t xml:space="preserve">Udenlandsk pension </t>
    </r>
    <r>
      <rPr>
        <b/>
        <sz val="11"/>
        <color theme="1"/>
        <rFont val="Calibri"/>
        <family val="2"/>
        <scheme val="minor"/>
      </rPr>
      <t>arbejdsgiver andel*</t>
    </r>
  </si>
  <si>
    <t>Pensionsprocent og grundlag er helt individuelt fra</t>
  </si>
  <si>
    <r>
      <t xml:space="preserve">Udenlandsk pension </t>
    </r>
    <r>
      <rPr>
        <b/>
        <sz val="11"/>
        <color theme="1"/>
        <rFont val="Calibri"/>
        <family val="2"/>
        <scheme val="minor"/>
      </rPr>
      <t>medarbejder andel*</t>
    </r>
  </si>
  <si>
    <t>kontrakt til kontrakt og vises kun som eksempel.</t>
  </si>
  <si>
    <t>Arbejdsgiver og lønmodtager aftaler helt selv procent</t>
  </si>
  <si>
    <t>størrelsen.</t>
  </si>
  <si>
    <t>Med Pension i Grønland - eks. med KUN medarbejder andel</t>
  </si>
  <si>
    <r>
      <t xml:space="preserve">Pension, </t>
    </r>
    <r>
      <rPr>
        <b/>
        <sz val="11"/>
        <color theme="1"/>
        <rFont val="Calibri"/>
        <family val="2"/>
        <scheme val="minor"/>
      </rPr>
      <t>kun medarbejder andel</t>
    </r>
  </si>
  <si>
    <r>
      <rPr>
        <b/>
        <sz val="11"/>
        <color theme="1"/>
        <rFont val="Calibri"/>
        <family val="2"/>
        <scheme val="minor"/>
      </rPr>
      <t xml:space="preserve">Mindst </t>
    </r>
    <r>
      <rPr>
        <sz val="11"/>
        <color theme="1"/>
        <rFont val="Calibri"/>
        <family val="2"/>
        <scheme val="minor"/>
      </rPr>
      <t>beregningsgrundlaget for obligatorisk pension for lønmodtager er i 2023:</t>
    </r>
  </si>
  <si>
    <t>*Jf. lov nr 21 af 28. november 2016 §2:</t>
  </si>
  <si>
    <r>
      <t xml:space="preserve">Pension, </t>
    </r>
    <r>
      <rPr>
        <b/>
        <sz val="11"/>
        <color theme="1"/>
        <rFont val="Calibri"/>
        <family val="2"/>
        <scheme val="minor"/>
      </rPr>
      <t>arbejdsgiver andel</t>
    </r>
  </si>
  <si>
    <r>
      <t xml:space="preserve">Pension, </t>
    </r>
    <r>
      <rPr>
        <b/>
        <sz val="11"/>
        <color theme="1"/>
        <rFont val="Calibri"/>
        <family val="2"/>
        <scheme val="minor"/>
      </rPr>
      <t>medarbejder andel*</t>
    </r>
  </si>
  <si>
    <r>
      <t>Pension,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medarbejder andel</t>
    </r>
  </si>
  <si>
    <r>
      <rPr>
        <b/>
        <sz val="11"/>
        <color theme="1"/>
        <rFont val="Calibri"/>
        <family val="2"/>
        <scheme val="minor"/>
      </rPr>
      <t>Mindst</t>
    </r>
    <r>
      <rPr>
        <sz val="11"/>
        <color theme="1"/>
        <rFont val="Calibri"/>
        <family val="2"/>
        <scheme val="minor"/>
      </rPr>
      <t xml:space="preserve"> beregningsgrundlaget for obligatorisk pension for lønmodtager er i 2023:</t>
    </r>
  </si>
  <si>
    <r>
      <t xml:space="preserve">Pension, </t>
    </r>
    <r>
      <rPr>
        <b/>
        <sz val="11"/>
        <color theme="1"/>
        <rFont val="Calibri"/>
        <family val="2"/>
        <scheme val="minor"/>
      </rPr>
      <t>arbejdsgiver andel*</t>
    </r>
  </si>
  <si>
    <r>
      <rPr>
        <sz val="11"/>
        <color theme="1"/>
        <rFont val="Calibri"/>
        <family val="2"/>
        <scheme val="minor"/>
      </rPr>
      <t xml:space="preserve">Pension, </t>
    </r>
    <r>
      <rPr>
        <b/>
        <sz val="11"/>
        <color theme="1"/>
        <rFont val="Calibri"/>
        <family val="2"/>
        <scheme val="minor"/>
      </rPr>
      <t>Medarbejder andel*</t>
    </r>
  </si>
  <si>
    <t xml:space="preserve">*Pensionsprocent og grundlag er helt individuelt fra kontrakt til kontrakt og vises kun som eksempel. </t>
  </si>
  <si>
    <r>
      <rPr>
        <sz val="11"/>
        <color theme="1"/>
        <rFont val="Calibri"/>
        <family val="2"/>
        <scheme val="minor"/>
      </rPr>
      <t>Pension,</t>
    </r>
    <r>
      <rPr>
        <b/>
        <sz val="11"/>
        <color theme="1"/>
        <rFont val="Calibri"/>
        <family val="2"/>
        <scheme val="minor"/>
      </rPr>
      <t xml:space="preserve"> Medarbejder andel*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</si>
</sst>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3" fontId="0" fillId="0" borderId="0" xfId="1" applyFont="1" applyBorder="1"/>
    <xf numFmtId="9" fontId="0" fillId="0" borderId="0" xfId="0" applyNumberFormat="1"/>
    <xf numFmtId="43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164" fontId="0" fillId="0" borderId="0" xfId="0" applyNumberFormat="1"/>
    <xf numFmtId="164" fontId="0" fillId="0" borderId="6" xfId="0" applyNumberFormat="1" applyBorder="1"/>
    <xf numFmtId="164" fontId="0" fillId="0" borderId="10" xfId="0" applyNumberFormat="1" applyBorder="1"/>
    <xf numFmtId="0" fontId="0" fillId="0" borderId="0" xfId="0" applyAlignment="1">
      <alignment wrapText="1"/>
    </xf>
    <xf numFmtId="0" fontId="2" fillId="0" borderId="0" xfId="0" applyFont="1"/>
    <xf numFmtId="9" fontId="0" fillId="0" borderId="9" xfId="0" applyNumberFormat="1" applyBorder="1"/>
    <xf numFmtId="0" fontId="2" fillId="2" borderId="0" xfId="0" applyFont="1" applyFill="1"/>
    <xf numFmtId="0" fontId="0" fillId="2" borderId="0" xfId="0" applyFill="1"/>
    <xf numFmtId="3" fontId="0" fillId="0" borderId="6" xfId="1" applyNumberFormat="1" applyFont="1" applyBorder="1"/>
    <xf numFmtId="3" fontId="0" fillId="0" borderId="4" xfId="1" applyNumberFormat="1" applyFont="1" applyBorder="1"/>
    <xf numFmtId="3" fontId="0" fillId="0" borderId="11" xfId="1" applyNumberFormat="1" applyFont="1" applyBorder="1"/>
    <xf numFmtId="3" fontId="0" fillId="0" borderId="0" xfId="1" applyNumberFormat="1" applyFont="1" applyBorder="1"/>
    <xf numFmtId="3" fontId="0" fillId="0" borderId="12" xfId="1" applyNumberFormat="1" applyFont="1" applyBorder="1"/>
    <xf numFmtId="9" fontId="0" fillId="0" borderId="12" xfId="0" applyNumberFormat="1" applyBorder="1"/>
    <xf numFmtId="3" fontId="0" fillId="0" borderId="9" xfId="1" applyNumberFormat="1" applyFont="1" applyBorder="1"/>
    <xf numFmtId="3" fontId="0" fillId="0" borderId="10" xfId="1" applyNumberFormat="1" applyFont="1" applyBorder="1"/>
    <xf numFmtId="3" fontId="0" fillId="0" borderId="6" xfId="0" applyNumberFormat="1" applyBorder="1"/>
    <xf numFmtId="3" fontId="0" fillId="0" borderId="7" xfId="1" applyNumberFormat="1" applyFont="1" applyBorder="1"/>
    <xf numFmtId="3" fontId="0" fillId="0" borderId="1" xfId="1" applyNumberFormat="1" applyFont="1" applyBorder="1"/>
    <xf numFmtId="0" fontId="2" fillId="0" borderId="2" xfId="0" applyFont="1" applyBorder="1"/>
    <xf numFmtId="0" fontId="2" fillId="0" borderId="4" xfId="0" applyFont="1" applyBorder="1"/>
    <xf numFmtId="164" fontId="0" fillId="0" borderId="0" xfId="1" applyNumberFormat="1" applyFont="1"/>
    <xf numFmtId="3" fontId="0" fillId="0" borderId="2" xfId="0" applyNumberFormat="1" applyBorder="1"/>
    <xf numFmtId="9" fontId="0" fillId="0" borderId="4" xfId="0" applyNumberFormat="1" applyBorder="1"/>
    <xf numFmtId="3" fontId="0" fillId="0" borderId="8" xfId="0" applyNumberFormat="1" applyBorder="1"/>
    <xf numFmtId="9" fontId="0" fillId="0" borderId="10" xfId="0" applyNumberFormat="1" applyBorder="1"/>
    <xf numFmtId="0" fontId="0" fillId="0" borderId="13" xfId="0" applyBorder="1"/>
    <xf numFmtId="9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 applyAlignment="1">
      <alignment wrapText="1"/>
    </xf>
    <xf numFmtId="0" fontId="0" fillId="2" borderId="9" xfId="0" applyFill="1" applyBorder="1"/>
    <xf numFmtId="3" fontId="0" fillId="0" borderId="9" xfId="0" applyNumberFormat="1" applyBorder="1"/>
    <xf numFmtId="164" fontId="0" fillId="0" borderId="0" xfId="1" applyNumberFormat="1" applyFont="1" applyAlignment="1"/>
    <xf numFmtId="0" fontId="3" fillId="0" borderId="0" xfId="0" applyFont="1"/>
    <xf numFmtId="3" fontId="3" fillId="0" borderId="0" xfId="0" applyNumberFormat="1" applyFont="1"/>
    <xf numFmtId="3" fontId="3" fillId="0" borderId="0" xfId="1" applyNumberFormat="1" applyFont="1" applyBorder="1"/>
    <xf numFmtId="3" fontId="3" fillId="0" borderId="6" xfId="1" applyNumberFormat="1" applyFont="1" applyBorder="1"/>
    <xf numFmtId="164" fontId="3" fillId="0" borderId="0" xfId="1" applyNumberFormat="1" applyFont="1"/>
    <xf numFmtId="3" fontId="4" fillId="0" borderId="6" xfId="1" applyNumberFormat="1" applyFont="1" applyBorder="1"/>
    <xf numFmtId="164" fontId="4" fillId="0" borderId="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165" fontId="0" fillId="0" borderId="9" xfId="0" applyNumberFormat="1" applyBorder="1"/>
    <xf numFmtId="165" fontId="0" fillId="0" borderId="0" xfId="0" applyNumberFormat="1"/>
    <xf numFmtId="165" fontId="0" fillId="0" borderId="12" xfId="0" applyNumberFormat="1" applyBorder="1"/>
    <xf numFmtId="1" fontId="0" fillId="0" borderId="0" xfId="0" applyNumberFormat="1" applyAlignment="1">
      <alignment horizontal="left"/>
    </xf>
    <xf numFmtId="164" fontId="5" fillId="0" borderId="6" xfId="0" applyNumberFormat="1" applyFont="1" applyBorder="1"/>
    <xf numFmtId="3" fontId="5" fillId="0" borderId="6" xfId="1" applyNumberFormat="1" applyFont="1" applyBorder="1"/>
    <xf numFmtId="164" fontId="0" fillId="0" borderId="9" xfId="0" applyNumberForma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FE67-EE7E-49AD-8E7D-5BE85D4D1D9A}">
  <sheetPr>
    <pageSetUpPr fitToPage="1"/>
  </sheetPr>
  <dimension ref="A1:K108"/>
  <sheetViews>
    <sheetView topLeftCell="A21" zoomScaleNormal="100" workbookViewId="0">
      <selection activeCell="B99" sqref="B99:F101"/>
    </sheetView>
  </sheetViews>
  <sheetFormatPr defaultRowHeight="14.4" x14ac:dyDescent="0.3"/>
  <cols>
    <col min="1" max="1" width="6" customWidth="1"/>
    <col min="2" max="2" width="34" customWidth="1"/>
    <col min="3" max="3" width="14.33203125" customWidth="1"/>
    <col min="5" max="5" width="10" bestFit="1" customWidth="1"/>
    <col min="6" max="6" width="13.33203125" bestFit="1" customWidth="1"/>
    <col min="7" max="7" width="2" customWidth="1"/>
    <col min="8" max="8" width="30.33203125" customWidth="1"/>
    <col min="9" max="9" width="13.88671875" bestFit="1" customWidth="1"/>
    <col min="10" max="10" width="6.44140625" bestFit="1" customWidth="1"/>
    <col min="11" max="11" width="15" bestFit="1" customWidth="1"/>
  </cols>
  <sheetData>
    <row r="1" spans="1:11" x14ac:dyDescent="0.3">
      <c r="E1" t="s">
        <v>12</v>
      </c>
      <c r="F1" t="s">
        <v>13</v>
      </c>
    </row>
    <row r="2" spans="1:11" x14ac:dyDescent="0.3">
      <c r="I2" s="13"/>
    </row>
    <row r="3" spans="1:11" x14ac:dyDescent="0.3">
      <c r="A3" s="17" t="s">
        <v>21</v>
      </c>
    </row>
    <row r="4" spans="1:11" x14ac:dyDescent="0.3">
      <c r="B4" s="19" t="s">
        <v>37</v>
      </c>
      <c r="C4" s="20"/>
    </row>
    <row r="5" spans="1:11" x14ac:dyDescent="0.3">
      <c r="A5" s="1"/>
      <c r="B5" s="2"/>
      <c r="C5" s="2"/>
      <c r="D5" s="2" t="s">
        <v>9</v>
      </c>
      <c r="E5" s="2"/>
      <c r="F5" s="3" t="s">
        <v>17</v>
      </c>
      <c r="H5" s="55" t="s">
        <v>16</v>
      </c>
      <c r="I5" s="56" t="s">
        <v>19</v>
      </c>
    </row>
    <row r="6" spans="1:11" x14ac:dyDescent="0.3">
      <c r="A6" s="4"/>
      <c r="F6" s="5"/>
      <c r="H6" s="4"/>
      <c r="I6" s="5"/>
    </row>
    <row r="7" spans="1:11" x14ac:dyDescent="0.3">
      <c r="A7" s="4"/>
      <c r="F7" s="5"/>
      <c r="H7" s="4" t="s">
        <v>15</v>
      </c>
      <c r="I7" s="61">
        <f>F9+F11+F12+F13+F14</f>
        <v>31781.945205479453</v>
      </c>
    </row>
    <row r="8" spans="1:11" x14ac:dyDescent="0.3">
      <c r="A8" s="4" t="s">
        <v>0</v>
      </c>
      <c r="B8" t="s">
        <v>1</v>
      </c>
      <c r="C8" t="s">
        <v>2</v>
      </c>
      <c r="D8" t="s">
        <v>3</v>
      </c>
      <c r="F8" s="5" t="s">
        <v>4</v>
      </c>
      <c r="H8" s="4" t="s">
        <v>7</v>
      </c>
      <c r="I8" s="14">
        <f>-F17</f>
        <v>11318.55698630137</v>
      </c>
    </row>
    <row r="9" spans="1:11" x14ac:dyDescent="0.3">
      <c r="A9" s="4">
        <v>1000</v>
      </c>
      <c r="B9" t="s">
        <v>5</v>
      </c>
      <c r="E9" s="24"/>
      <c r="F9" s="21">
        <v>26000</v>
      </c>
      <c r="H9" s="4" t="s">
        <v>25</v>
      </c>
      <c r="I9" s="14">
        <f>E25</f>
        <v>3900</v>
      </c>
      <c r="J9" s="16"/>
      <c r="K9" s="13"/>
    </row>
    <row r="10" spans="1:11" x14ac:dyDescent="0.3">
      <c r="A10" s="4"/>
      <c r="B10" t="s">
        <v>22</v>
      </c>
      <c r="E10" s="24">
        <v>26000</v>
      </c>
      <c r="F10" s="21"/>
      <c r="H10" s="4" t="s">
        <v>26</v>
      </c>
      <c r="I10" s="14">
        <f>-E26</f>
        <v>1638</v>
      </c>
    </row>
    <row r="11" spans="1:11" x14ac:dyDescent="0.3">
      <c r="A11" s="4"/>
      <c r="B11" s="48" t="s">
        <v>18</v>
      </c>
      <c r="C11" s="48">
        <v>31</v>
      </c>
      <c r="D11" s="49">
        <v>71610</v>
      </c>
      <c r="E11" s="50"/>
      <c r="F11" s="51">
        <f>D11/365*C11</f>
        <v>6081.9452054794519</v>
      </c>
      <c r="H11" s="4"/>
      <c r="I11" s="14"/>
    </row>
    <row r="12" spans="1:11" x14ac:dyDescent="0.3">
      <c r="A12" s="4"/>
      <c r="B12" s="48" t="s">
        <v>11</v>
      </c>
      <c r="C12" s="48" t="s">
        <v>19</v>
      </c>
      <c r="D12" s="52">
        <v>6000</v>
      </c>
      <c r="E12" s="50"/>
      <c r="F12" s="51">
        <f>6000/12</f>
        <v>500</v>
      </c>
      <c r="H12" s="9" t="s">
        <v>38</v>
      </c>
      <c r="I12" s="15">
        <f>(I7+I9)*0.011</f>
        <v>392.50139726027396</v>
      </c>
    </row>
    <row r="13" spans="1:11" x14ac:dyDescent="0.3">
      <c r="A13" s="4"/>
      <c r="B13" s="48" t="s">
        <v>10</v>
      </c>
      <c r="C13" s="48" t="s">
        <v>19</v>
      </c>
      <c r="D13" s="52">
        <v>6000</v>
      </c>
      <c r="E13" s="50"/>
      <c r="F13" s="51">
        <f>6000/12</f>
        <v>500</v>
      </c>
    </row>
    <row r="14" spans="1:11" x14ac:dyDescent="0.3">
      <c r="A14" s="9"/>
      <c r="B14" s="10" t="s">
        <v>115</v>
      </c>
      <c r="C14" s="10"/>
      <c r="D14" s="18">
        <v>0.05</v>
      </c>
      <c r="E14" s="27">
        <f>SUM(F9)</f>
        <v>26000</v>
      </c>
      <c r="F14" s="28">
        <f>-E14*D14</f>
        <v>-1300</v>
      </c>
    </row>
    <row r="15" spans="1:11" x14ac:dyDescent="0.3">
      <c r="A15" s="4"/>
      <c r="B15" t="s">
        <v>29</v>
      </c>
      <c r="D15" s="7"/>
      <c r="E15" s="24"/>
      <c r="F15" s="62">
        <f>SUM(F8:F14)</f>
        <v>31781.945205479453</v>
      </c>
    </row>
    <row r="16" spans="1:11" x14ac:dyDescent="0.3">
      <c r="A16" s="4"/>
      <c r="B16" t="s">
        <v>6</v>
      </c>
      <c r="E16" s="24">
        <v>-4833</v>
      </c>
      <c r="F16" s="29"/>
      <c r="H16" s="39" t="s">
        <v>44</v>
      </c>
      <c r="I16" s="39" t="s">
        <v>43</v>
      </c>
    </row>
    <row r="17" spans="1:11" x14ac:dyDescent="0.3">
      <c r="A17" s="4"/>
      <c r="B17" t="s">
        <v>7</v>
      </c>
      <c r="C17" s="12">
        <f>F9+F14+E16+F11+F12+F13</f>
        <v>26948.945205479453</v>
      </c>
      <c r="D17" s="7">
        <v>0.42</v>
      </c>
      <c r="E17" s="24"/>
      <c r="F17" s="21">
        <f>-(C17)*D17</f>
        <v>-11318.55698630137</v>
      </c>
      <c r="H17" s="39">
        <v>2023</v>
      </c>
      <c r="I17" s="40">
        <v>7.0000000000000007E-2</v>
      </c>
    </row>
    <row r="18" spans="1:11" x14ac:dyDescent="0.3">
      <c r="A18" s="4"/>
      <c r="B18" s="48" t="s">
        <v>20</v>
      </c>
      <c r="C18" s="49"/>
      <c r="D18" s="48"/>
      <c r="E18" s="50"/>
      <c r="F18" s="51">
        <f>-D11/365*C11</f>
        <v>-6081.9452054794519</v>
      </c>
      <c r="H18" s="39">
        <v>2024</v>
      </c>
      <c r="I18" s="40">
        <v>0.08</v>
      </c>
    </row>
    <row r="19" spans="1:11" x14ac:dyDescent="0.3">
      <c r="A19" s="4"/>
      <c r="B19" s="48" t="s">
        <v>11</v>
      </c>
      <c r="C19" s="49"/>
      <c r="D19" s="48"/>
      <c r="E19" s="50"/>
      <c r="F19" s="51">
        <f>-6000/12</f>
        <v>-500</v>
      </c>
      <c r="H19" s="39">
        <v>2025</v>
      </c>
      <c r="I19" s="40">
        <v>0.09</v>
      </c>
    </row>
    <row r="20" spans="1:11" x14ac:dyDescent="0.3">
      <c r="A20" s="4"/>
      <c r="B20" s="48" t="s">
        <v>10</v>
      </c>
      <c r="C20" s="49"/>
      <c r="D20" s="48"/>
      <c r="E20" s="50"/>
      <c r="F20" s="51">
        <f>-6000/12</f>
        <v>-500</v>
      </c>
      <c r="H20" s="39">
        <v>2026</v>
      </c>
      <c r="I20" s="40">
        <v>0.1</v>
      </c>
    </row>
    <row r="21" spans="1:11" ht="15" thickBot="1" x14ac:dyDescent="0.35">
      <c r="A21" s="4"/>
      <c r="B21" t="s">
        <v>24</v>
      </c>
      <c r="C21" s="12"/>
      <c r="E21" s="24"/>
      <c r="F21" s="30">
        <f>F9+F14+F17+F20+F11+F12+F13+F18+F19</f>
        <v>13381.44301369863</v>
      </c>
    </row>
    <row r="22" spans="1:11" ht="15" thickTop="1" x14ac:dyDescent="0.3">
      <c r="A22" s="4"/>
      <c r="C22" s="12"/>
      <c r="E22" s="12"/>
      <c r="F22" s="29"/>
      <c r="H22" t="s">
        <v>41</v>
      </c>
    </row>
    <row r="23" spans="1:11" x14ac:dyDescent="0.3">
      <c r="A23" s="4"/>
      <c r="B23" t="s">
        <v>116</v>
      </c>
      <c r="C23" s="35">
        <f>F9</f>
        <v>26000</v>
      </c>
      <c r="D23" s="36">
        <v>0.1</v>
      </c>
      <c r="E23" s="24">
        <f>C23*D23</f>
        <v>2600</v>
      </c>
      <c r="F23" s="29"/>
      <c r="H23" t="s">
        <v>117</v>
      </c>
    </row>
    <row r="24" spans="1:11" x14ac:dyDescent="0.3">
      <c r="A24" s="4"/>
      <c r="B24" t="s">
        <v>118</v>
      </c>
      <c r="C24" s="37">
        <f>C23</f>
        <v>26000</v>
      </c>
      <c r="D24" s="38">
        <v>0.05</v>
      </c>
      <c r="E24" s="27">
        <f>C24*D24</f>
        <v>1300</v>
      </c>
      <c r="F24" s="29"/>
      <c r="H24" t="s">
        <v>119</v>
      </c>
    </row>
    <row r="25" spans="1:11" x14ac:dyDescent="0.3">
      <c r="A25" s="4"/>
      <c r="B25" t="s">
        <v>28</v>
      </c>
      <c r="C25" s="8"/>
      <c r="D25" s="7"/>
      <c r="E25" s="24">
        <f>SUM(E23:E24)</f>
        <v>3900</v>
      </c>
      <c r="F25" s="29"/>
      <c r="H25" t="s">
        <v>120</v>
      </c>
    </row>
    <row r="26" spans="1:11" x14ac:dyDescent="0.3">
      <c r="A26" s="4"/>
      <c r="B26" t="s">
        <v>27</v>
      </c>
      <c r="C26" s="8"/>
      <c r="D26" s="7">
        <v>0.42</v>
      </c>
      <c r="E26" s="27">
        <f>-E25*D26</f>
        <v>-1638</v>
      </c>
      <c r="F26" s="29"/>
      <c r="H26" t="s">
        <v>121</v>
      </c>
    </row>
    <row r="27" spans="1:11" ht="15" thickBot="1" x14ac:dyDescent="0.35">
      <c r="A27" s="4"/>
      <c r="B27" t="s">
        <v>23</v>
      </c>
      <c r="E27" s="31">
        <f>SUM(E25:E26)</f>
        <v>2262</v>
      </c>
      <c r="F27" s="29"/>
    </row>
    <row r="28" spans="1:11" ht="15" thickTop="1" x14ac:dyDescent="0.3">
      <c r="A28" s="4"/>
      <c r="E28" s="12"/>
      <c r="F28" s="29"/>
    </row>
    <row r="29" spans="1:11" x14ac:dyDescent="0.3">
      <c r="A29" s="9"/>
      <c r="B29" s="10" t="s">
        <v>8</v>
      </c>
      <c r="C29" s="10"/>
      <c r="D29" s="10"/>
      <c r="E29" s="10"/>
      <c r="F29" s="11"/>
    </row>
    <row r="30" spans="1:11" ht="15" thickBot="1" x14ac:dyDescent="0.3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2" spans="1:11" x14ac:dyDescent="0.3">
      <c r="B32" s="19" t="s">
        <v>122</v>
      </c>
      <c r="C32" s="20"/>
    </row>
    <row r="33" spans="1:10" x14ac:dyDescent="0.3">
      <c r="A33" s="1"/>
      <c r="B33" s="2"/>
      <c r="C33" s="2"/>
      <c r="D33" s="2" t="s">
        <v>9</v>
      </c>
      <c r="E33" s="2"/>
      <c r="F33" s="3" t="s">
        <v>17</v>
      </c>
      <c r="H33" s="32" t="s">
        <v>16</v>
      </c>
      <c r="I33" s="33" t="s">
        <v>19</v>
      </c>
    </row>
    <row r="34" spans="1:10" x14ac:dyDescent="0.3">
      <c r="A34" s="4"/>
      <c r="F34" s="5"/>
      <c r="H34" s="4"/>
      <c r="I34" s="5"/>
    </row>
    <row r="35" spans="1:10" x14ac:dyDescent="0.3">
      <c r="A35" s="4"/>
      <c r="F35" s="5"/>
      <c r="H35" s="4" t="s">
        <v>15</v>
      </c>
      <c r="I35" s="14">
        <f>F37+F39+F40+F41+F42</f>
        <v>30766.209041095892</v>
      </c>
    </row>
    <row r="36" spans="1:10" x14ac:dyDescent="0.3">
      <c r="A36" s="4" t="s">
        <v>0</v>
      </c>
      <c r="B36" t="s">
        <v>1</v>
      </c>
      <c r="C36" t="s">
        <v>2</v>
      </c>
      <c r="D36" t="s">
        <v>3</v>
      </c>
      <c r="F36" s="5" t="s">
        <v>4</v>
      </c>
      <c r="H36" s="4" t="s">
        <v>7</v>
      </c>
      <c r="I36" s="14">
        <f>-F45</f>
        <v>10891.947797260274</v>
      </c>
    </row>
    <row r="37" spans="1:10" x14ac:dyDescent="0.3">
      <c r="A37" s="4">
        <v>1000</v>
      </c>
      <c r="B37" t="s">
        <v>5</v>
      </c>
      <c r="E37" s="24"/>
      <c r="F37" s="21">
        <v>26000</v>
      </c>
      <c r="H37" s="4"/>
      <c r="I37" s="14"/>
    </row>
    <row r="38" spans="1:10" x14ac:dyDescent="0.3">
      <c r="A38" s="4"/>
      <c r="B38" t="s">
        <v>22</v>
      </c>
      <c r="E38" s="24">
        <v>26000</v>
      </c>
      <c r="F38" s="21"/>
      <c r="H38" s="9" t="s">
        <v>38</v>
      </c>
      <c r="I38" s="15">
        <f>I35*0.011</f>
        <v>338.42829945205477</v>
      </c>
    </row>
    <row r="39" spans="1:10" x14ac:dyDescent="0.3">
      <c r="A39" s="4"/>
      <c r="B39" s="48" t="s">
        <v>18</v>
      </c>
      <c r="C39" s="48">
        <v>31</v>
      </c>
      <c r="D39" s="49">
        <v>71610</v>
      </c>
      <c r="E39" s="50"/>
      <c r="F39" s="51">
        <f>D39/365*C39</f>
        <v>6081.9452054794519</v>
      </c>
    </row>
    <row r="40" spans="1:10" x14ac:dyDescent="0.3">
      <c r="A40" s="4"/>
      <c r="B40" s="48" t="s">
        <v>11</v>
      </c>
      <c r="C40" s="48" t="s">
        <v>19</v>
      </c>
      <c r="D40" s="52">
        <v>6000</v>
      </c>
      <c r="E40" s="50"/>
      <c r="F40" s="51">
        <f>6000/12</f>
        <v>500</v>
      </c>
    </row>
    <row r="41" spans="1:10" x14ac:dyDescent="0.3">
      <c r="A41" s="4"/>
      <c r="B41" s="48" t="s">
        <v>10</v>
      </c>
      <c r="C41" s="48" t="s">
        <v>19</v>
      </c>
      <c r="D41" s="52">
        <v>6000</v>
      </c>
      <c r="E41" s="50"/>
      <c r="F41" s="51">
        <f>6000/12</f>
        <v>500</v>
      </c>
      <c r="H41" t="s">
        <v>53</v>
      </c>
    </row>
    <row r="42" spans="1:10" x14ac:dyDescent="0.3">
      <c r="A42" s="9"/>
      <c r="B42" s="10" t="s">
        <v>123</v>
      </c>
      <c r="C42" s="10"/>
      <c r="D42" s="18">
        <v>7.0000000000000007E-2</v>
      </c>
      <c r="E42" s="27">
        <f>SUM(F37:F39:F41)</f>
        <v>33081.945205479453</v>
      </c>
      <c r="F42" s="28">
        <f>-E42*D42</f>
        <v>-2315.736164383562</v>
      </c>
      <c r="H42" t="s">
        <v>124</v>
      </c>
    </row>
    <row r="43" spans="1:10" x14ac:dyDescent="0.3">
      <c r="A43" s="4"/>
      <c r="B43" t="s">
        <v>32</v>
      </c>
      <c r="D43" s="7"/>
      <c r="E43" s="24"/>
      <c r="F43" s="21">
        <f>SUM(F36:F42)</f>
        <v>30766.209041095892</v>
      </c>
      <c r="H43" s="12">
        <f>SUM(F9:F13)</f>
        <v>33081.945205479453</v>
      </c>
      <c r="I43" s="7">
        <v>7.0000000000000007E-2</v>
      </c>
      <c r="J43" s="34">
        <f>H43*I43</f>
        <v>2315.736164383562</v>
      </c>
    </row>
    <row r="44" spans="1:10" x14ac:dyDescent="0.3">
      <c r="A44" s="4"/>
      <c r="B44" t="s">
        <v>6</v>
      </c>
      <c r="E44" s="24">
        <v>-4833</v>
      </c>
      <c r="F44" s="29"/>
    </row>
    <row r="45" spans="1:10" x14ac:dyDescent="0.3">
      <c r="A45" s="4"/>
      <c r="B45" t="s">
        <v>7</v>
      </c>
      <c r="C45" s="8">
        <f>F37+F42+E44+F39+F40+F41</f>
        <v>25933.209041095892</v>
      </c>
      <c r="D45" s="7">
        <v>0.42</v>
      </c>
      <c r="E45" s="24"/>
      <c r="F45" s="21">
        <f>-(C45)*D45</f>
        <v>-10891.947797260274</v>
      </c>
      <c r="H45" t="s">
        <v>125</v>
      </c>
    </row>
    <row r="46" spans="1:10" x14ac:dyDescent="0.3">
      <c r="A46" s="4"/>
      <c r="B46" s="48" t="s">
        <v>20</v>
      </c>
      <c r="C46" s="48"/>
      <c r="D46" s="48"/>
      <c r="E46" s="50"/>
      <c r="F46" s="51">
        <f>-D39/365*C39</f>
        <v>-6081.9452054794519</v>
      </c>
      <c r="H46" t="s">
        <v>45</v>
      </c>
    </row>
    <row r="47" spans="1:10" x14ac:dyDescent="0.3">
      <c r="A47" s="4"/>
      <c r="B47" s="48" t="s">
        <v>11</v>
      </c>
      <c r="C47" s="48"/>
      <c r="D47" s="48"/>
      <c r="E47" s="50"/>
      <c r="F47" s="51">
        <f>-6000/12</f>
        <v>-500</v>
      </c>
    </row>
    <row r="48" spans="1:10" x14ac:dyDescent="0.3">
      <c r="A48" s="4"/>
      <c r="B48" s="48" t="s">
        <v>10</v>
      </c>
      <c r="C48" s="48"/>
      <c r="D48" s="48"/>
      <c r="E48" s="50"/>
      <c r="F48" s="51">
        <f>-6000/12</f>
        <v>-500</v>
      </c>
    </row>
    <row r="49" spans="1:11" ht="15" thickBot="1" x14ac:dyDescent="0.35">
      <c r="A49" s="4"/>
      <c r="B49" t="s">
        <v>24</v>
      </c>
      <c r="E49" s="24"/>
      <c r="F49" s="30">
        <f>F37+F42+F45+F48+F39+F40+F41+F46+F47</f>
        <v>12792.316038356163</v>
      </c>
    </row>
    <row r="50" spans="1:11" ht="15" thickTop="1" x14ac:dyDescent="0.3">
      <c r="A50" s="4"/>
      <c r="E50" s="12"/>
      <c r="F50" s="29"/>
    </row>
    <row r="51" spans="1:11" x14ac:dyDescent="0.3">
      <c r="A51" s="4"/>
      <c r="B51" t="s">
        <v>126</v>
      </c>
      <c r="C51" s="12">
        <v>26000</v>
      </c>
      <c r="D51" s="7">
        <v>0</v>
      </c>
      <c r="E51" s="24">
        <f>C51*D51</f>
        <v>0</v>
      </c>
      <c r="F51" s="29"/>
    </row>
    <row r="52" spans="1:11" x14ac:dyDescent="0.3">
      <c r="A52" s="4"/>
      <c r="B52" t="s">
        <v>127</v>
      </c>
      <c r="C52" s="12">
        <f>F37+F39+F40+F41</f>
        <v>33081.945205479453</v>
      </c>
      <c r="D52" s="7">
        <v>7.0000000000000007E-2</v>
      </c>
      <c r="E52" s="27">
        <f>C52*D52</f>
        <v>2315.736164383562</v>
      </c>
      <c r="F52" s="29"/>
    </row>
    <row r="53" spans="1:11" x14ac:dyDescent="0.3">
      <c r="A53" s="4"/>
      <c r="B53" t="s">
        <v>46</v>
      </c>
      <c r="C53" s="8"/>
      <c r="D53" s="7"/>
      <c r="E53" s="24">
        <f>SUM(E51:E52)</f>
        <v>2315.736164383562</v>
      </c>
      <c r="F53" s="29"/>
    </row>
    <row r="54" spans="1:11" ht="15" thickBot="1" x14ac:dyDescent="0.35">
      <c r="A54" s="4"/>
      <c r="B54" t="s">
        <v>47</v>
      </c>
      <c r="C54" s="8"/>
      <c r="D54" s="7"/>
      <c r="E54" s="31">
        <f>E53</f>
        <v>2315.736164383562</v>
      </c>
      <c r="F54" s="29"/>
    </row>
    <row r="55" spans="1:11" ht="15" thickTop="1" x14ac:dyDescent="0.3">
      <c r="A55" s="4"/>
      <c r="E55" s="6"/>
      <c r="F55" s="5"/>
    </row>
    <row r="56" spans="1:11" x14ac:dyDescent="0.3">
      <c r="A56" s="9"/>
      <c r="B56" s="10" t="s">
        <v>8</v>
      </c>
      <c r="C56" s="10"/>
      <c r="D56" s="10"/>
      <c r="E56" s="10"/>
      <c r="F56" s="11"/>
    </row>
    <row r="58" spans="1:11" ht="15" thickBot="1" x14ac:dyDescent="0.3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60" spans="1:11" x14ac:dyDescent="0.3">
      <c r="A60" s="20" t="s">
        <v>48</v>
      </c>
      <c r="B60" s="20"/>
      <c r="C60" s="20"/>
      <c r="D60" s="19" t="s">
        <v>39</v>
      </c>
      <c r="E60" s="19"/>
      <c r="F60" s="19"/>
    </row>
    <row r="61" spans="1:11" x14ac:dyDescent="0.3">
      <c r="A61" s="1"/>
      <c r="B61" s="2" t="s">
        <v>36</v>
      </c>
      <c r="C61" s="2"/>
      <c r="D61" s="2" t="s">
        <v>9</v>
      </c>
      <c r="E61" s="2"/>
      <c r="F61" s="3" t="s">
        <v>30</v>
      </c>
      <c r="H61" s="1" t="s">
        <v>16</v>
      </c>
      <c r="I61" s="3" t="s">
        <v>31</v>
      </c>
    </row>
    <row r="62" spans="1:11" x14ac:dyDescent="0.3">
      <c r="A62" s="4"/>
      <c r="F62" s="5"/>
      <c r="H62" s="4"/>
      <c r="I62" s="5"/>
    </row>
    <row r="63" spans="1:11" x14ac:dyDescent="0.3">
      <c r="A63" s="4"/>
      <c r="F63" s="5"/>
      <c r="H63" s="4" t="s">
        <v>15</v>
      </c>
      <c r="I63" s="14">
        <f>F65+F67+F68+F69+F70</f>
        <v>11409.830575342467</v>
      </c>
      <c r="J63" s="13"/>
    </row>
    <row r="64" spans="1:11" x14ac:dyDescent="0.3">
      <c r="A64" s="4" t="s">
        <v>0</v>
      </c>
      <c r="B64" t="s">
        <v>1</v>
      </c>
      <c r="C64" t="s">
        <v>2</v>
      </c>
      <c r="D64" t="s">
        <v>3</v>
      </c>
      <c r="F64" s="5" t="s">
        <v>4</v>
      </c>
      <c r="H64" s="4" t="s">
        <v>7</v>
      </c>
      <c r="I64" s="14">
        <f>-F73</f>
        <v>3855.1088416438351</v>
      </c>
    </row>
    <row r="65" spans="1:10" x14ac:dyDescent="0.3">
      <c r="A65" s="4">
        <v>1000</v>
      </c>
      <c r="B65" t="s">
        <v>5</v>
      </c>
      <c r="C65">
        <v>80</v>
      </c>
      <c r="D65">
        <v>111</v>
      </c>
      <c r="E65" s="6"/>
      <c r="F65" s="21">
        <f>C65*D65</f>
        <v>8880</v>
      </c>
      <c r="H65" s="9" t="s">
        <v>14</v>
      </c>
      <c r="I65" s="15">
        <f>I63*0.011</f>
        <v>125.50813632876712</v>
      </c>
    </row>
    <row r="66" spans="1:10" x14ac:dyDescent="0.3">
      <c r="A66" s="4"/>
      <c r="B66" t="s">
        <v>22</v>
      </c>
      <c r="E66" s="24">
        <f>F65</f>
        <v>8880</v>
      </c>
      <c r="F66" s="21"/>
    </row>
    <row r="67" spans="1:10" x14ac:dyDescent="0.3">
      <c r="A67" s="4"/>
      <c r="B67" s="48" t="s">
        <v>33</v>
      </c>
      <c r="C67" s="48">
        <v>14</v>
      </c>
      <c r="D67" s="49">
        <v>71610</v>
      </c>
      <c r="E67" s="50"/>
      <c r="F67" s="51">
        <f>D67/365*C67</f>
        <v>2746.6849315068494</v>
      </c>
    </row>
    <row r="68" spans="1:10" x14ac:dyDescent="0.3">
      <c r="A68" s="4"/>
      <c r="B68" s="48" t="s">
        <v>11</v>
      </c>
      <c r="C68" s="48" t="s">
        <v>34</v>
      </c>
      <c r="D68" s="52">
        <v>6000</v>
      </c>
      <c r="E68" s="50"/>
      <c r="F68" s="51">
        <v>230</v>
      </c>
      <c r="H68" s="39" t="s">
        <v>50</v>
      </c>
      <c r="I68" s="39" t="s">
        <v>43</v>
      </c>
    </row>
    <row r="69" spans="1:10" x14ac:dyDescent="0.3">
      <c r="A69" s="4"/>
      <c r="B69" s="48" t="s">
        <v>10</v>
      </c>
      <c r="C69" s="48" t="s">
        <v>34</v>
      </c>
      <c r="D69" s="52">
        <v>6000</v>
      </c>
      <c r="E69" s="50"/>
      <c r="F69" s="51">
        <v>230</v>
      </c>
      <c r="H69" s="39">
        <v>2023</v>
      </c>
      <c r="I69" s="40">
        <v>7.0000000000000007E-2</v>
      </c>
    </row>
    <row r="70" spans="1:10" x14ac:dyDescent="0.3">
      <c r="A70" s="9"/>
      <c r="B70" s="10" t="s">
        <v>128</v>
      </c>
      <c r="C70" s="10"/>
      <c r="D70" s="57">
        <v>5.6000000000000001E-2</v>
      </c>
      <c r="E70" s="27">
        <f>SUM(F65:F69)</f>
        <v>12086.68493150685</v>
      </c>
      <c r="F70" s="28">
        <f>-E70*D70</f>
        <v>-676.8543561643836</v>
      </c>
      <c r="H70" s="39">
        <v>2024</v>
      </c>
      <c r="I70" s="40">
        <v>0.08</v>
      </c>
    </row>
    <row r="71" spans="1:10" x14ac:dyDescent="0.3">
      <c r="A71" s="4"/>
      <c r="B71" t="s">
        <v>32</v>
      </c>
      <c r="D71" s="7"/>
      <c r="E71" s="24"/>
      <c r="F71" s="22">
        <f>SUM(F65:F70)</f>
        <v>11409.830575342467</v>
      </c>
      <c r="H71" s="39">
        <v>2025</v>
      </c>
      <c r="I71" s="40">
        <v>0.09</v>
      </c>
    </row>
    <row r="72" spans="1:10" x14ac:dyDescent="0.3">
      <c r="A72" s="4"/>
      <c r="B72" t="s">
        <v>6</v>
      </c>
      <c r="E72" s="24">
        <v>-2231</v>
      </c>
      <c r="F72" s="21"/>
      <c r="H72" s="39">
        <v>2026</v>
      </c>
      <c r="I72" s="40">
        <v>0.1</v>
      </c>
    </row>
    <row r="73" spans="1:10" x14ac:dyDescent="0.3">
      <c r="A73" s="4"/>
      <c r="B73" t="s">
        <v>7</v>
      </c>
      <c r="C73" s="12">
        <f>F65+F70+E72+F67+F68+F69</f>
        <v>9178.8305753424647</v>
      </c>
      <c r="D73" s="7">
        <v>0.42</v>
      </c>
      <c r="E73" s="24"/>
      <c r="F73" s="21">
        <f>-(C73)*D73</f>
        <v>-3855.1088416438351</v>
      </c>
    </row>
    <row r="74" spans="1:10" x14ac:dyDescent="0.3">
      <c r="A74" s="4"/>
      <c r="B74" s="48" t="s">
        <v>20</v>
      </c>
      <c r="C74" s="49"/>
      <c r="D74" s="48"/>
      <c r="E74" s="50"/>
      <c r="F74" s="51">
        <f>-D67/365*C67</f>
        <v>-2746.6849315068494</v>
      </c>
      <c r="H74" t="s">
        <v>51</v>
      </c>
    </row>
    <row r="75" spans="1:10" x14ac:dyDescent="0.3">
      <c r="A75" s="4"/>
      <c r="B75" s="48" t="s">
        <v>11</v>
      </c>
      <c r="C75" s="49"/>
      <c r="D75" s="48"/>
      <c r="E75" s="50"/>
      <c r="F75" s="51">
        <f>-6000/365*14</f>
        <v>-230.13698630136989</v>
      </c>
      <c r="H75" t="s">
        <v>129</v>
      </c>
    </row>
    <row r="76" spans="1:10" x14ac:dyDescent="0.3">
      <c r="A76" s="4"/>
      <c r="B76" s="48" t="s">
        <v>10</v>
      </c>
      <c r="C76" s="49"/>
      <c r="D76" s="48"/>
      <c r="E76" s="50"/>
      <c r="F76" s="51">
        <f>-6000/365*14</f>
        <v>-230.13698630136989</v>
      </c>
      <c r="H76" s="12">
        <f>SUM(F65:F69)</f>
        <v>12086.68493150685</v>
      </c>
      <c r="I76" s="7">
        <v>7.0000000000000007E-2</v>
      </c>
      <c r="J76" s="34">
        <f>H76*I76</f>
        <v>846.06794520547965</v>
      </c>
    </row>
    <row r="77" spans="1:10" ht="15" thickBot="1" x14ac:dyDescent="0.35">
      <c r="A77" s="4"/>
      <c r="B77" t="s">
        <v>24</v>
      </c>
      <c r="C77" s="12"/>
      <c r="E77" s="24"/>
      <c r="F77" s="23">
        <f>F65+F70+F76+F67+F68+F69+F73+F74+F75</f>
        <v>4347.7628295890427</v>
      </c>
      <c r="G77" s="8"/>
    </row>
    <row r="78" spans="1:10" ht="15" thickTop="1" x14ac:dyDescent="0.3">
      <c r="A78" s="4"/>
      <c r="C78" s="12"/>
      <c r="E78" s="12"/>
      <c r="F78" s="5"/>
      <c r="H78" t="s">
        <v>52</v>
      </c>
    </row>
    <row r="79" spans="1:10" x14ac:dyDescent="0.3">
      <c r="A79" s="4"/>
      <c r="B79" t="s">
        <v>130</v>
      </c>
      <c r="C79" s="12">
        <f>F65</f>
        <v>8880</v>
      </c>
      <c r="D79" s="7">
        <v>0.02</v>
      </c>
      <c r="E79" s="24">
        <f>C79*D79</f>
        <v>177.6</v>
      </c>
      <c r="F79" s="5"/>
      <c r="H79" t="s">
        <v>45</v>
      </c>
    </row>
    <row r="80" spans="1:10" x14ac:dyDescent="0.3">
      <c r="A80" s="4"/>
      <c r="B80" s="17" t="s">
        <v>131</v>
      </c>
      <c r="C80" s="13">
        <f>E70</f>
        <v>12086.68493150685</v>
      </c>
      <c r="D80" s="58">
        <v>5.6000000000000001E-2</v>
      </c>
      <c r="E80" s="24">
        <f>-F70</f>
        <v>676.8543561643836</v>
      </c>
      <c r="F80" s="5"/>
    </row>
    <row r="81" spans="1:10" ht="15" thickBot="1" x14ac:dyDescent="0.35">
      <c r="A81" s="4"/>
      <c r="B81" t="s">
        <v>35</v>
      </c>
      <c r="D81" s="59">
        <f>SUM(D79:D80)</f>
        <v>7.5999999999999998E-2</v>
      </c>
      <c r="E81" s="25">
        <f>SUM(E79:E80)</f>
        <v>854.45435616438363</v>
      </c>
      <c r="F81" s="5"/>
      <c r="H81" t="s">
        <v>132</v>
      </c>
    </row>
    <row r="82" spans="1:10" ht="15" thickTop="1" x14ac:dyDescent="0.3">
      <c r="A82" s="4"/>
      <c r="F82" s="5"/>
      <c r="H82" t="s">
        <v>42</v>
      </c>
    </row>
    <row r="83" spans="1:10" ht="15" thickBot="1" x14ac:dyDescent="0.35">
      <c r="A83" s="42"/>
      <c r="B83" s="41" t="s">
        <v>8</v>
      </c>
      <c r="C83" s="41"/>
      <c r="D83" s="41"/>
      <c r="E83" s="41"/>
      <c r="F83" s="43"/>
      <c r="G83" s="42"/>
    </row>
    <row r="85" spans="1:10" x14ac:dyDescent="0.3">
      <c r="A85" s="20" t="s">
        <v>48</v>
      </c>
      <c r="B85" s="20"/>
      <c r="C85" s="20"/>
      <c r="D85" s="19" t="s">
        <v>40</v>
      </c>
      <c r="E85" s="19"/>
      <c r="F85" s="20"/>
    </row>
    <row r="86" spans="1:10" x14ac:dyDescent="0.3">
      <c r="A86" s="1"/>
      <c r="B86" s="2" t="s">
        <v>36</v>
      </c>
      <c r="C86" s="2"/>
      <c r="D86" s="2" t="s">
        <v>9</v>
      </c>
      <c r="E86" s="2"/>
      <c r="F86" s="3" t="s">
        <v>30</v>
      </c>
      <c r="H86" s="1" t="s">
        <v>16</v>
      </c>
      <c r="I86" s="3" t="s">
        <v>31</v>
      </c>
    </row>
    <row r="87" spans="1:10" x14ac:dyDescent="0.3">
      <c r="A87" s="4"/>
      <c r="F87" s="5"/>
      <c r="H87" s="4"/>
      <c r="I87" s="5"/>
    </row>
    <row r="88" spans="1:10" x14ac:dyDescent="0.3">
      <c r="A88" s="4"/>
      <c r="F88" s="5"/>
      <c r="H88" s="4" t="s">
        <v>15</v>
      </c>
      <c r="I88" s="14">
        <f>F90+F92+F93+F94+F95</f>
        <v>11240.871780821919</v>
      </c>
    </row>
    <row r="89" spans="1:10" x14ac:dyDescent="0.3">
      <c r="A89" s="4" t="s">
        <v>0</v>
      </c>
      <c r="B89" t="s">
        <v>1</v>
      </c>
      <c r="C89" t="s">
        <v>2</v>
      </c>
      <c r="D89" t="s">
        <v>3</v>
      </c>
      <c r="F89" s="5" t="s">
        <v>4</v>
      </c>
      <c r="H89" s="4" t="s">
        <v>7</v>
      </c>
      <c r="I89" s="14">
        <f>-F98</f>
        <v>3784.146147945205</v>
      </c>
    </row>
    <row r="90" spans="1:10" x14ac:dyDescent="0.3">
      <c r="A90" s="4">
        <v>1000</v>
      </c>
      <c r="B90" t="s">
        <v>5</v>
      </c>
      <c r="C90">
        <v>80</v>
      </c>
      <c r="D90">
        <v>111</v>
      </c>
      <c r="E90" s="6"/>
      <c r="F90" s="21">
        <f>C90*D90</f>
        <v>8880</v>
      </c>
      <c r="H90" s="9" t="s">
        <v>14</v>
      </c>
      <c r="I90" s="15">
        <f>I88*0.011</f>
        <v>123.6495895890411</v>
      </c>
    </row>
    <row r="91" spans="1:10" x14ac:dyDescent="0.3">
      <c r="A91" s="4"/>
      <c r="B91" t="s">
        <v>22</v>
      </c>
      <c r="E91" s="24">
        <f>F90</f>
        <v>8880</v>
      </c>
      <c r="F91" s="21"/>
    </row>
    <row r="92" spans="1:10" x14ac:dyDescent="0.3">
      <c r="A92" s="4"/>
      <c r="B92" s="48" t="s">
        <v>33</v>
      </c>
      <c r="C92" s="48">
        <v>14</v>
      </c>
      <c r="D92" s="49">
        <v>71610</v>
      </c>
      <c r="E92" s="50"/>
      <c r="F92" s="51">
        <f>D92/365*C92</f>
        <v>2746.6849315068494</v>
      </c>
    </row>
    <row r="93" spans="1:10" x14ac:dyDescent="0.3">
      <c r="A93" s="4"/>
      <c r="B93" s="48" t="s">
        <v>11</v>
      </c>
      <c r="C93" s="48" t="s">
        <v>34</v>
      </c>
      <c r="D93" s="52">
        <v>6000</v>
      </c>
      <c r="E93" s="50"/>
      <c r="F93" s="51">
        <f>D93/365*14</f>
        <v>230.13698630136989</v>
      </c>
    </row>
    <row r="94" spans="1:10" x14ac:dyDescent="0.3">
      <c r="A94" s="4"/>
      <c r="B94" s="48" t="s">
        <v>10</v>
      </c>
      <c r="C94" s="48" t="s">
        <v>34</v>
      </c>
      <c r="D94" s="52">
        <v>6000</v>
      </c>
      <c r="E94" s="50"/>
      <c r="F94" s="51">
        <f>D94/365*14</f>
        <v>230.13698630136989</v>
      </c>
      <c r="H94" t="s">
        <v>51</v>
      </c>
    </row>
    <row r="95" spans="1:10" x14ac:dyDescent="0.3">
      <c r="A95" s="9"/>
      <c r="B95" s="10" t="s">
        <v>49</v>
      </c>
      <c r="C95" s="10"/>
      <c r="D95" s="18">
        <v>7.0000000000000007E-2</v>
      </c>
      <c r="E95" s="27">
        <f>SUM(F90:F94)</f>
        <v>12086.95890410959</v>
      </c>
      <c r="F95" s="28">
        <f>-E95*D95</f>
        <v>-846.08712328767137</v>
      </c>
      <c r="H95" t="s">
        <v>129</v>
      </c>
    </row>
    <row r="96" spans="1:10" x14ac:dyDescent="0.3">
      <c r="A96" s="4"/>
      <c r="B96" t="s">
        <v>32</v>
      </c>
      <c r="D96" s="7"/>
      <c r="E96" s="24"/>
      <c r="F96" s="22">
        <f>SUM(F90:F95)</f>
        <v>11240.871780821919</v>
      </c>
      <c r="H96" s="12">
        <f>SUM(F65:F69)</f>
        <v>12086.68493150685</v>
      </c>
      <c r="I96" s="7">
        <v>7.0000000000000007E-2</v>
      </c>
      <c r="J96" s="34">
        <f>H96*I96</f>
        <v>846.06794520547965</v>
      </c>
    </row>
    <row r="97" spans="1:8" x14ac:dyDescent="0.3">
      <c r="A97" s="4"/>
      <c r="B97" t="s">
        <v>6</v>
      </c>
      <c r="E97" s="24">
        <v>-2231</v>
      </c>
      <c r="F97" s="21"/>
    </row>
    <row r="98" spans="1:8" x14ac:dyDescent="0.3">
      <c r="A98" s="4"/>
      <c r="B98" t="s">
        <v>7</v>
      </c>
      <c r="C98" s="12">
        <f>F90+F95+E97+F92+F93+F94</f>
        <v>9009.8717808219171</v>
      </c>
      <c r="D98" s="7">
        <v>0.42</v>
      </c>
      <c r="E98" s="24"/>
      <c r="F98" s="21">
        <f>-(C98)*D98</f>
        <v>-3784.146147945205</v>
      </c>
    </row>
    <row r="99" spans="1:8" x14ac:dyDescent="0.3">
      <c r="A99" s="4"/>
      <c r="B99" s="48" t="s">
        <v>20</v>
      </c>
      <c r="C99" s="49"/>
      <c r="D99" s="48"/>
      <c r="E99" s="50"/>
      <c r="F99" s="51">
        <f>-D92/365*C92</f>
        <v>-2746.6849315068494</v>
      </c>
      <c r="H99" t="s">
        <v>52</v>
      </c>
    </row>
    <row r="100" spans="1:8" x14ac:dyDescent="0.3">
      <c r="A100" s="4"/>
      <c r="B100" s="48" t="s">
        <v>11</v>
      </c>
      <c r="C100" s="49"/>
      <c r="D100" s="48"/>
      <c r="E100" s="50"/>
      <c r="F100" s="51">
        <f>-6000/365*14</f>
        <v>-230.13698630136989</v>
      </c>
      <c r="H100" t="s">
        <v>45</v>
      </c>
    </row>
    <row r="101" spans="1:8" x14ac:dyDescent="0.3">
      <c r="A101" s="4"/>
      <c r="B101" s="48" t="s">
        <v>10</v>
      </c>
      <c r="C101" s="49"/>
      <c r="D101" s="48"/>
      <c r="E101" s="50"/>
      <c r="F101" s="51">
        <f>-6000/365*14</f>
        <v>-230.13698630136989</v>
      </c>
    </row>
    <row r="102" spans="1:8" ht="15" thickBot="1" x14ac:dyDescent="0.35">
      <c r="A102" s="4"/>
      <c r="B102" t="s">
        <v>24</v>
      </c>
      <c r="C102" s="12"/>
      <c r="E102" s="24"/>
      <c r="F102" s="23">
        <f>F90+F95+F101+F92+F93+F94+F98+F99+F100</f>
        <v>4249.7667287671238</v>
      </c>
      <c r="G102" s="8"/>
    </row>
    <row r="103" spans="1:8" ht="15" thickTop="1" x14ac:dyDescent="0.3">
      <c r="A103" s="4"/>
      <c r="C103" s="12"/>
      <c r="E103" s="12"/>
      <c r="F103" s="5"/>
    </row>
    <row r="104" spans="1:8" x14ac:dyDescent="0.3">
      <c r="A104" s="4"/>
      <c r="B104" t="s">
        <v>130</v>
      </c>
      <c r="C104" s="34">
        <f>F90</f>
        <v>8880</v>
      </c>
      <c r="D104" s="7">
        <v>0</v>
      </c>
      <c r="E104" s="24">
        <f>C104*D104</f>
        <v>0</v>
      </c>
      <c r="F104" s="5"/>
    </row>
    <row r="105" spans="1:8" x14ac:dyDescent="0.3">
      <c r="A105" s="4"/>
      <c r="B105" s="17" t="s">
        <v>133</v>
      </c>
      <c r="C105" s="34">
        <f>E95</f>
        <v>12086.95890410959</v>
      </c>
      <c r="D105" s="7">
        <v>7.0000000000000007E-2</v>
      </c>
      <c r="E105" s="24">
        <f>-F95</f>
        <v>846.08712328767137</v>
      </c>
      <c r="F105" s="5"/>
    </row>
    <row r="106" spans="1:8" ht="15" thickBot="1" x14ac:dyDescent="0.35">
      <c r="A106" s="4"/>
      <c r="B106" t="s">
        <v>35</v>
      </c>
      <c r="D106" s="26">
        <f>SUM(D104:D105)</f>
        <v>7.0000000000000007E-2</v>
      </c>
      <c r="E106" s="25">
        <f>SUM(E104:E105)</f>
        <v>846.08712328767137</v>
      </c>
      <c r="F106" s="5"/>
    </row>
    <row r="107" spans="1:8" ht="15" thickTop="1" x14ac:dyDescent="0.3">
      <c r="A107" s="4"/>
      <c r="F107" s="5"/>
    </row>
    <row r="108" spans="1:8" x14ac:dyDescent="0.3">
      <c r="A108" s="9"/>
      <c r="B108" s="10" t="s">
        <v>8</v>
      </c>
      <c r="C108" s="10"/>
      <c r="D108" s="10"/>
      <c r="E108" s="10"/>
      <c r="F108" s="11"/>
    </row>
  </sheetData>
  <pageMargins left="0.7" right="0.7" top="0.75" bottom="0.75" header="0.3" footer="0.3"/>
  <pageSetup paperSize="9" scale="60" orientation="landscape" r:id="rId1"/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BCA25-9F2E-4BBA-BA1D-15B43CB1573F}">
  <sheetPr>
    <pageSetUpPr fitToPage="1"/>
  </sheetPr>
  <dimension ref="A1:M110"/>
  <sheetViews>
    <sheetView tabSelected="1" topLeftCell="A75" zoomScaleNormal="100" workbookViewId="0">
      <selection activeCell="D86" sqref="D86"/>
    </sheetView>
  </sheetViews>
  <sheetFormatPr defaultRowHeight="14.4" x14ac:dyDescent="0.3"/>
  <cols>
    <col min="1" max="1" width="6" customWidth="1"/>
    <col min="2" max="2" width="57.77734375" customWidth="1"/>
    <col min="3" max="3" width="11.5546875" customWidth="1"/>
    <col min="4" max="4" width="8.109375" customWidth="1"/>
    <col min="5" max="5" width="3.21875" customWidth="1"/>
    <col min="6" max="6" width="6.6640625" customWidth="1"/>
    <col min="7" max="7" width="22.21875" bestFit="1" customWidth="1"/>
    <col min="8" max="8" width="2" customWidth="1"/>
    <col min="9" max="9" width="64" customWidth="1"/>
    <col min="10" max="10" width="11.44140625" customWidth="1"/>
    <col min="11" max="11" width="21.6640625" customWidth="1"/>
    <col min="12" max="12" width="15" bestFit="1" customWidth="1"/>
  </cols>
  <sheetData>
    <row r="1" spans="1:12" x14ac:dyDescent="0.3">
      <c r="F1" t="s">
        <v>54</v>
      </c>
      <c r="G1" t="s">
        <v>55</v>
      </c>
    </row>
    <row r="2" spans="1:12" x14ac:dyDescent="0.3">
      <c r="A2" s="17"/>
      <c r="J2" s="13"/>
    </row>
    <row r="3" spans="1:12" x14ac:dyDescent="0.3">
      <c r="A3" s="17" t="s">
        <v>56</v>
      </c>
    </row>
    <row r="4" spans="1:12" x14ac:dyDescent="0.3">
      <c r="B4" s="45" t="s">
        <v>87</v>
      </c>
      <c r="C4" s="20"/>
      <c r="D4" s="45"/>
    </row>
    <row r="5" spans="1:12" x14ac:dyDescent="0.3">
      <c r="A5" s="1"/>
      <c r="B5" s="2"/>
      <c r="C5" s="2"/>
      <c r="D5" t="s">
        <v>57</v>
      </c>
      <c r="E5" s="2"/>
      <c r="F5" s="2"/>
      <c r="G5" s="3" t="s">
        <v>17</v>
      </c>
      <c r="I5" s="55" t="s">
        <v>58</v>
      </c>
      <c r="J5" s="56" t="s">
        <v>19</v>
      </c>
    </row>
    <row r="6" spans="1:12" x14ac:dyDescent="0.3">
      <c r="A6" s="4"/>
      <c r="G6" s="5"/>
      <c r="I6" s="4"/>
      <c r="J6" s="5"/>
    </row>
    <row r="7" spans="1:12" x14ac:dyDescent="0.3">
      <c r="A7" s="4"/>
      <c r="G7" s="5"/>
      <c r="I7" s="4" t="s">
        <v>59</v>
      </c>
      <c r="J7" s="54">
        <f>G9+G11+G12+G13+G15</f>
        <v>31781.945205479453</v>
      </c>
    </row>
    <row r="8" spans="1:12" x14ac:dyDescent="0.3">
      <c r="A8" s="4" t="s">
        <v>0</v>
      </c>
      <c r="B8" t="s">
        <v>80</v>
      </c>
      <c r="C8" t="s">
        <v>81</v>
      </c>
      <c r="D8" t="s">
        <v>82</v>
      </c>
      <c r="G8" s="5" t="s">
        <v>66</v>
      </c>
      <c r="I8" s="4" t="s">
        <v>60</v>
      </c>
      <c r="J8" s="14">
        <f>-G18</f>
        <v>11318.55698630137</v>
      </c>
    </row>
    <row r="9" spans="1:12" x14ac:dyDescent="0.3">
      <c r="A9" s="4">
        <v>1000</v>
      </c>
      <c r="B9" t="s">
        <v>67</v>
      </c>
      <c r="F9" s="24"/>
      <c r="G9" s="21">
        <v>26000</v>
      </c>
      <c r="I9" s="44" t="s">
        <v>64</v>
      </c>
      <c r="J9" s="14">
        <f>F26</f>
        <v>3900</v>
      </c>
      <c r="K9" s="16"/>
      <c r="L9" s="13"/>
    </row>
    <row r="10" spans="1:12" x14ac:dyDescent="0.3">
      <c r="A10" s="4"/>
      <c r="B10" t="s">
        <v>68</v>
      </c>
      <c r="F10" s="24">
        <v>26000</v>
      </c>
      <c r="G10" s="21"/>
      <c r="I10" s="4" t="s">
        <v>65</v>
      </c>
      <c r="J10" s="14">
        <f>-F27</f>
        <v>1638</v>
      </c>
    </row>
    <row r="11" spans="1:12" x14ac:dyDescent="0.3">
      <c r="A11" s="4"/>
      <c r="B11" s="48" t="s">
        <v>69</v>
      </c>
      <c r="C11" s="48">
        <v>31</v>
      </c>
      <c r="D11" s="49">
        <v>71610</v>
      </c>
      <c r="E11" s="49"/>
      <c r="F11" s="50"/>
      <c r="G11" s="51">
        <f>D11/365*C11</f>
        <v>6081.9452054794519</v>
      </c>
      <c r="I11" s="4"/>
      <c r="J11" s="14"/>
    </row>
    <row r="12" spans="1:12" x14ac:dyDescent="0.3">
      <c r="A12" s="4"/>
      <c r="B12" s="48" t="s">
        <v>75</v>
      </c>
      <c r="C12" s="48" t="s">
        <v>19</v>
      </c>
      <c r="D12" s="52">
        <v>6000</v>
      </c>
      <c r="E12" s="48"/>
      <c r="F12" s="50"/>
      <c r="G12" s="51">
        <f>6000/12</f>
        <v>500</v>
      </c>
      <c r="I12" s="9" t="s">
        <v>61</v>
      </c>
      <c r="J12" s="15">
        <f>(J7+J9)*0.011</f>
        <v>392.50139726027396</v>
      </c>
    </row>
    <row r="13" spans="1:12" x14ac:dyDescent="0.3">
      <c r="A13" s="4"/>
      <c r="B13" s="48" t="s">
        <v>70</v>
      </c>
      <c r="C13" s="48" t="s">
        <v>19</v>
      </c>
      <c r="D13" s="52">
        <v>6000</v>
      </c>
      <c r="E13" s="48"/>
      <c r="F13" s="50"/>
      <c r="G13" s="51">
        <f>6000/12</f>
        <v>500</v>
      </c>
    </row>
    <row r="14" spans="1:12" x14ac:dyDescent="0.3">
      <c r="A14" s="4"/>
      <c r="D14" s="34"/>
      <c r="F14" s="24"/>
      <c r="G14" s="21"/>
    </row>
    <row r="15" spans="1:12" x14ac:dyDescent="0.3">
      <c r="A15" s="9"/>
      <c r="B15" s="10" t="s">
        <v>101</v>
      </c>
      <c r="C15" s="10"/>
      <c r="D15" s="18">
        <v>0.05</v>
      </c>
      <c r="E15" s="18"/>
      <c r="F15" s="27">
        <f>F10</f>
        <v>26000</v>
      </c>
      <c r="G15" s="28">
        <f>-F15*D15</f>
        <v>-1300</v>
      </c>
    </row>
    <row r="16" spans="1:12" x14ac:dyDescent="0.3">
      <c r="A16" s="4"/>
      <c r="B16" t="s">
        <v>71</v>
      </c>
      <c r="D16" s="7"/>
      <c r="E16" s="7"/>
      <c r="F16" s="24"/>
      <c r="G16" s="53">
        <f>SUM(G8:G15)</f>
        <v>31781.945205479453</v>
      </c>
    </row>
    <row r="17" spans="1:12" x14ac:dyDescent="0.3">
      <c r="A17" s="4"/>
      <c r="B17" t="s">
        <v>72</v>
      </c>
      <c r="F17" s="24">
        <v>-4833</v>
      </c>
      <c r="G17" s="29"/>
      <c r="I17" s="39" t="s">
        <v>62</v>
      </c>
      <c r="J17" s="39" t="s">
        <v>63</v>
      </c>
    </row>
    <row r="18" spans="1:12" x14ac:dyDescent="0.3">
      <c r="A18" s="4"/>
      <c r="B18" t="s">
        <v>73</v>
      </c>
      <c r="C18" s="12">
        <f>G9+G15+F17+G11+G12+G13</f>
        <v>26948.945205479453</v>
      </c>
      <c r="D18" s="7">
        <v>0.42</v>
      </c>
      <c r="E18" s="7"/>
      <c r="F18" s="24"/>
      <c r="G18" s="21">
        <f>-(C18)*D18</f>
        <v>-11318.55698630137</v>
      </c>
      <c r="I18" s="39">
        <v>2023</v>
      </c>
      <c r="J18" s="40">
        <v>7.0000000000000007E-2</v>
      </c>
    </row>
    <row r="19" spans="1:12" x14ac:dyDescent="0.3">
      <c r="A19" s="4"/>
      <c r="B19" s="48" t="s">
        <v>74</v>
      </c>
      <c r="C19" s="49"/>
      <c r="D19" s="48"/>
      <c r="E19" s="48"/>
      <c r="F19" s="50"/>
      <c r="G19" s="51">
        <f>-D11/365*C11</f>
        <v>-6081.9452054794519</v>
      </c>
      <c r="I19" s="39">
        <v>2024</v>
      </c>
      <c r="J19" s="40">
        <v>0.08</v>
      </c>
    </row>
    <row r="20" spans="1:12" x14ac:dyDescent="0.3">
      <c r="A20" s="4"/>
      <c r="B20" s="48" t="s">
        <v>75</v>
      </c>
      <c r="C20" s="49"/>
      <c r="D20" s="48"/>
      <c r="E20" s="48"/>
      <c r="F20" s="50"/>
      <c r="G20" s="51">
        <f>-6000/12</f>
        <v>-500</v>
      </c>
      <c r="I20" s="39">
        <v>2025</v>
      </c>
      <c r="J20" s="40">
        <v>0.09</v>
      </c>
    </row>
    <row r="21" spans="1:12" x14ac:dyDescent="0.3">
      <c r="A21" s="4"/>
      <c r="B21" s="48" t="s">
        <v>70</v>
      </c>
      <c r="C21" s="49"/>
      <c r="D21" s="48"/>
      <c r="E21" s="48"/>
      <c r="F21" s="50"/>
      <c r="G21" s="51">
        <f>-6000/12</f>
        <v>-500</v>
      </c>
      <c r="I21" s="39">
        <v>2026</v>
      </c>
      <c r="J21" s="40">
        <v>0.1</v>
      </c>
    </row>
    <row r="22" spans="1:12" ht="15" thickBot="1" x14ac:dyDescent="0.35">
      <c r="A22" s="4"/>
      <c r="B22" t="s">
        <v>102</v>
      </c>
      <c r="C22" s="12"/>
      <c r="F22" s="24"/>
      <c r="G22" s="30">
        <f>G9+G15+G18+G21+G11+G12+G13+G19+G20</f>
        <v>13381.44301369863</v>
      </c>
    </row>
    <row r="23" spans="1:12" ht="15" thickTop="1" x14ac:dyDescent="0.3">
      <c r="A23" s="4"/>
      <c r="C23" s="12"/>
      <c r="F23" s="12"/>
      <c r="G23" s="29"/>
      <c r="I23" t="s">
        <v>41</v>
      </c>
    </row>
    <row r="24" spans="1:12" x14ac:dyDescent="0.3">
      <c r="A24" s="4"/>
      <c r="B24" t="s">
        <v>85</v>
      </c>
      <c r="C24" s="35">
        <f>F15</f>
        <v>26000</v>
      </c>
      <c r="D24" s="36">
        <v>0.1</v>
      </c>
      <c r="E24" s="7"/>
      <c r="F24" s="24">
        <f>C24*D24</f>
        <v>2600</v>
      </c>
      <c r="G24" s="29"/>
      <c r="I24" t="s">
        <v>98</v>
      </c>
    </row>
    <row r="25" spans="1:12" x14ac:dyDescent="0.3">
      <c r="A25" s="4"/>
      <c r="B25" s="11" t="s">
        <v>88</v>
      </c>
      <c r="C25" s="37">
        <f>C24</f>
        <v>26000</v>
      </c>
      <c r="D25" s="38">
        <v>0.05</v>
      </c>
      <c r="E25" s="7"/>
      <c r="F25" s="27">
        <f>C25*D25</f>
        <v>1300</v>
      </c>
      <c r="G25" s="29"/>
      <c r="I25" t="s">
        <v>99</v>
      </c>
    </row>
    <row r="26" spans="1:12" x14ac:dyDescent="0.3">
      <c r="A26" s="4"/>
      <c r="B26" t="s">
        <v>77</v>
      </c>
      <c r="C26" s="8"/>
      <c r="D26" s="7"/>
      <c r="E26" s="7"/>
      <c r="F26" s="24">
        <f>SUM(F24:F25)</f>
        <v>3900</v>
      </c>
      <c r="G26" s="29"/>
      <c r="I26" t="s">
        <v>100</v>
      </c>
    </row>
    <row r="27" spans="1:12" x14ac:dyDescent="0.3">
      <c r="A27" s="4"/>
      <c r="B27" s="4" t="s">
        <v>86</v>
      </c>
      <c r="C27" s="8"/>
      <c r="D27" s="7">
        <v>0.42</v>
      </c>
      <c r="E27" s="7"/>
      <c r="F27" s="27">
        <f>-F26*D27</f>
        <v>-1638</v>
      </c>
      <c r="G27" s="29"/>
    </row>
    <row r="28" spans="1:12" ht="15" thickBot="1" x14ac:dyDescent="0.35">
      <c r="A28" s="4"/>
      <c r="B28" t="s">
        <v>84</v>
      </c>
      <c r="F28" s="31">
        <f>SUM(F26:F27)</f>
        <v>2262</v>
      </c>
      <c r="G28" s="29"/>
    </row>
    <row r="29" spans="1:12" ht="15" thickTop="1" x14ac:dyDescent="0.3">
      <c r="A29" s="4"/>
      <c r="F29" s="12"/>
      <c r="G29" s="29"/>
    </row>
    <row r="30" spans="1:12" x14ac:dyDescent="0.3">
      <c r="A30" s="9"/>
      <c r="B30" s="10" t="s">
        <v>78</v>
      </c>
      <c r="C30" s="10"/>
      <c r="D30" s="10"/>
      <c r="E30" s="10"/>
      <c r="F30" s="10"/>
      <c r="G30" s="11"/>
    </row>
    <row r="31" spans="1:12" ht="15" thickBot="1" x14ac:dyDescent="0.3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3" spans="1:11" x14ac:dyDescent="0.3">
      <c r="B33" s="19" t="s">
        <v>103</v>
      </c>
      <c r="C33" s="20"/>
      <c r="D33" s="10"/>
    </row>
    <row r="34" spans="1:11" x14ac:dyDescent="0.3">
      <c r="A34" s="1"/>
      <c r="B34" s="2"/>
      <c r="C34" s="2"/>
      <c r="D34" t="s">
        <v>57</v>
      </c>
      <c r="E34" s="2"/>
      <c r="F34" s="2"/>
      <c r="G34" s="3" t="s">
        <v>17</v>
      </c>
      <c r="I34" s="32" t="s">
        <v>58</v>
      </c>
      <c r="J34" s="33" t="s">
        <v>19</v>
      </c>
    </row>
    <row r="35" spans="1:11" x14ac:dyDescent="0.3">
      <c r="A35" s="4"/>
      <c r="G35" s="5"/>
      <c r="I35" s="4"/>
      <c r="J35" s="5"/>
    </row>
    <row r="36" spans="1:11" x14ac:dyDescent="0.3">
      <c r="A36" s="4"/>
      <c r="G36" s="5"/>
      <c r="I36" s="4" t="s">
        <v>59</v>
      </c>
      <c r="J36" s="14">
        <f>G38+G40+G41+G42+G43</f>
        <v>30766.209041095892</v>
      </c>
    </row>
    <row r="37" spans="1:11" x14ac:dyDescent="0.3">
      <c r="A37" s="4" t="s">
        <v>0</v>
      </c>
      <c r="B37" t="s">
        <v>80</v>
      </c>
      <c r="C37" t="s">
        <v>81</v>
      </c>
      <c r="D37" t="s">
        <v>82</v>
      </c>
      <c r="G37" s="5" t="s">
        <v>66</v>
      </c>
      <c r="I37" s="4" t="s">
        <v>60</v>
      </c>
      <c r="J37" s="14">
        <f>-G47</f>
        <v>10891.947797260274</v>
      </c>
    </row>
    <row r="38" spans="1:11" x14ac:dyDescent="0.3">
      <c r="A38" s="4">
        <v>1000</v>
      </c>
      <c r="B38" t="s">
        <v>67</v>
      </c>
      <c r="F38" s="24"/>
      <c r="G38" s="21">
        <v>26000</v>
      </c>
      <c r="I38" s="4"/>
      <c r="J38" s="14"/>
    </row>
    <row r="39" spans="1:11" x14ac:dyDescent="0.3">
      <c r="A39" s="4"/>
      <c r="B39" t="s">
        <v>68</v>
      </c>
      <c r="F39" s="24">
        <v>26000</v>
      </c>
      <c r="G39" s="21"/>
      <c r="I39" s="9" t="s">
        <v>61</v>
      </c>
      <c r="J39" s="15">
        <f>J36*0.011</f>
        <v>338.42829945205477</v>
      </c>
    </row>
    <row r="40" spans="1:11" x14ac:dyDescent="0.3">
      <c r="A40" s="4"/>
      <c r="B40" s="48" t="s">
        <v>69</v>
      </c>
      <c r="C40" s="48">
        <v>31</v>
      </c>
      <c r="D40" s="49">
        <v>71610</v>
      </c>
      <c r="E40" s="49"/>
      <c r="F40" s="50"/>
      <c r="G40" s="51">
        <f>D40/365*C40</f>
        <v>6081.9452054794519</v>
      </c>
    </row>
    <row r="41" spans="1:11" x14ac:dyDescent="0.3">
      <c r="A41" s="4"/>
      <c r="B41" s="48" t="s">
        <v>75</v>
      </c>
      <c r="C41" s="48" t="s">
        <v>19</v>
      </c>
      <c r="D41" s="52">
        <v>6000</v>
      </c>
      <c r="E41" s="48"/>
      <c r="F41" s="50"/>
      <c r="G41" s="51">
        <f>6000/12</f>
        <v>500</v>
      </c>
    </row>
    <row r="42" spans="1:11" x14ac:dyDescent="0.3">
      <c r="A42" s="4"/>
      <c r="B42" s="48" t="s">
        <v>70</v>
      </c>
      <c r="C42" s="48" t="s">
        <v>19</v>
      </c>
      <c r="D42" s="52">
        <v>6000</v>
      </c>
      <c r="E42" s="48"/>
      <c r="F42" s="50"/>
      <c r="G42" s="51">
        <f>6000/12</f>
        <v>500</v>
      </c>
      <c r="I42" t="s">
        <v>94</v>
      </c>
    </row>
    <row r="43" spans="1:11" x14ac:dyDescent="0.3">
      <c r="A43" s="9"/>
      <c r="B43" s="10" t="s">
        <v>104</v>
      </c>
      <c r="C43" s="10"/>
      <c r="D43" s="18">
        <v>7.0000000000000007E-2</v>
      </c>
      <c r="E43" s="18"/>
      <c r="F43" s="27">
        <f>SUM(G38:G42)</f>
        <v>33081.945205479453</v>
      </c>
      <c r="G43" s="28">
        <f>-F43*D43</f>
        <v>-2315.736164383562</v>
      </c>
      <c r="I43" t="s">
        <v>107</v>
      </c>
    </row>
    <row r="44" spans="1:11" x14ac:dyDescent="0.3">
      <c r="A44" s="4"/>
      <c r="D44" s="7"/>
      <c r="E44" s="7"/>
      <c r="F44" s="24"/>
      <c r="G44" s="21"/>
      <c r="I44" t="s">
        <v>96</v>
      </c>
    </row>
    <row r="45" spans="1:11" x14ac:dyDescent="0.3">
      <c r="A45" s="4"/>
      <c r="B45" t="s">
        <v>71</v>
      </c>
      <c r="D45" s="7"/>
      <c r="E45" s="7"/>
      <c r="F45" s="24"/>
      <c r="G45" s="21">
        <f>SUM(G37:G43)</f>
        <v>30766.209041095892</v>
      </c>
      <c r="I45" s="12">
        <f>SUM(G9:G13)</f>
        <v>33081.945205479453</v>
      </c>
      <c r="J45" s="7">
        <v>7.0000000000000007E-2</v>
      </c>
      <c r="K45" s="47">
        <f>I45*J45</f>
        <v>2315.736164383562</v>
      </c>
    </row>
    <row r="46" spans="1:11" x14ac:dyDescent="0.3">
      <c r="A46" s="4"/>
      <c r="B46" t="s">
        <v>72</v>
      </c>
      <c r="F46" s="24">
        <v>-4833</v>
      </c>
      <c r="G46" s="29"/>
    </row>
    <row r="47" spans="1:11" x14ac:dyDescent="0.3">
      <c r="A47" s="4"/>
      <c r="B47" t="s">
        <v>73</v>
      </c>
      <c r="C47" s="8">
        <f>G38+G43+F46+G40+G41+G42</f>
        <v>25933.209041095892</v>
      </c>
      <c r="D47" s="7">
        <v>0.42</v>
      </c>
      <c r="E47" s="7"/>
      <c r="F47" s="24"/>
      <c r="G47" s="21">
        <f>-(C47)*D47</f>
        <v>-10891.947797260274</v>
      </c>
      <c r="I47" t="s">
        <v>108</v>
      </c>
    </row>
    <row r="48" spans="1:11" x14ac:dyDescent="0.3">
      <c r="A48" s="4"/>
      <c r="B48" s="48" t="s">
        <v>74</v>
      </c>
      <c r="C48" s="48"/>
      <c r="D48" s="48"/>
      <c r="E48" s="48"/>
      <c r="F48" s="50"/>
      <c r="G48" s="51">
        <f>-D40/365*C40</f>
        <v>-6081.9452054794519</v>
      </c>
      <c r="I48" t="s">
        <v>97</v>
      </c>
    </row>
    <row r="49" spans="1:12" x14ac:dyDescent="0.3">
      <c r="A49" s="4"/>
      <c r="B49" s="48" t="s">
        <v>75</v>
      </c>
      <c r="C49" s="48"/>
      <c r="D49" s="48"/>
      <c r="E49" s="48"/>
      <c r="F49" s="50"/>
      <c r="G49" s="51">
        <f>-6000/12</f>
        <v>-500</v>
      </c>
    </row>
    <row r="50" spans="1:12" x14ac:dyDescent="0.3">
      <c r="A50" s="4"/>
      <c r="B50" s="48" t="s">
        <v>70</v>
      </c>
      <c r="C50" s="48"/>
      <c r="D50" s="48"/>
      <c r="E50" s="48"/>
      <c r="F50" s="50"/>
      <c r="G50" s="51">
        <f>-6000/12</f>
        <v>-500</v>
      </c>
    </row>
    <row r="51" spans="1:12" ht="15" thickBot="1" x14ac:dyDescent="0.35">
      <c r="A51" s="4"/>
      <c r="B51" t="s">
        <v>76</v>
      </c>
      <c r="F51" s="24"/>
      <c r="G51" s="30">
        <f>G38+G43+G47+G50+G40+G41+G42+G48+G49</f>
        <v>12792.316038356163</v>
      </c>
    </row>
    <row r="52" spans="1:12" ht="15" thickTop="1" x14ac:dyDescent="0.3">
      <c r="A52" s="4"/>
      <c r="F52" s="12"/>
      <c r="G52" s="29"/>
    </row>
    <row r="53" spans="1:12" x14ac:dyDescent="0.3">
      <c r="A53" s="4"/>
      <c r="B53" t="s">
        <v>105</v>
      </c>
      <c r="C53" s="12">
        <f>F39</f>
        <v>26000</v>
      </c>
      <c r="D53" s="7">
        <v>0</v>
      </c>
      <c r="E53" s="7"/>
      <c r="F53" s="24">
        <f>C53*D53</f>
        <v>0</v>
      </c>
      <c r="G53" s="29"/>
    </row>
    <row r="54" spans="1:12" x14ac:dyDescent="0.3">
      <c r="A54" s="4"/>
      <c r="B54" s="10" t="s">
        <v>110</v>
      </c>
      <c r="C54" s="46">
        <f>F43</f>
        <v>33081.945205479453</v>
      </c>
      <c r="D54" s="18">
        <v>7.0000000000000007E-2</v>
      </c>
      <c r="E54" s="18"/>
      <c r="F54" s="27">
        <f>C54*D54</f>
        <v>2315.736164383562</v>
      </c>
      <c r="G54" s="29"/>
    </row>
    <row r="55" spans="1:12" x14ac:dyDescent="0.3">
      <c r="A55" s="4"/>
      <c r="B55" t="s">
        <v>83</v>
      </c>
      <c r="C55" s="8"/>
      <c r="D55" s="7"/>
      <c r="E55" s="7"/>
      <c r="F55" s="24">
        <f>SUM(F53:F54)</f>
        <v>2315.736164383562</v>
      </c>
      <c r="G55" s="29"/>
    </row>
    <row r="56" spans="1:12" ht="15" thickBot="1" x14ac:dyDescent="0.35">
      <c r="A56" s="4"/>
      <c r="B56" t="s">
        <v>106</v>
      </c>
      <c r="C56" s="8"/>
      <c r="D56" s="7"/>
      <c r="E56" s="7"/>
      <c r="F56" s="31">
        <f>F55</f>
        <v>2315.736164383562</v>
      </c>
      <c r="G56" s="29"/>
    </row>
    <row r="57" spans="1:12" ht="15" thickTop="1" x14ac:dyDescent="0.3">
      <c r="A57" s="4"/>
      <c r="F57" s="6"/>
      <c r="G57" s="5"/>
    </row>
    <row r="58" spans="1:12" x14ac:dyDescent="0.3">
      <c r="A58" s="9"/>
      <c r="B58" s="10" t="s">
        <v>78</v>
      </c>
      <c r="C58" s="10"/>
      <c r="D58" s="10"/>
      <c r="E58" s="10"/>
      <c r="F58" s="10"/>
      <c r="G58" s="11"/>
    </row>
    <row r="60" spans="1:12" ht="15" thickBot="1" x14ac:dyDescent="0.3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2" spans="1:12" x14ac:dyDescent="0.3">
      <c r="B62" s="20" t="s">
        <v>111</v>
      </c>
      <c r="C62" s="20"/>
      <c r="D62" s="19"/>
      <c r="E62" s="19"/>
      <c r="F62" s="19"/>
      <c r="G62" s="17"/>
    </row>
    <row r="63" spans="1:12" x14ac:dyDescent="0.3">
      <c r="A63" s="1"/>
      <c r="B63" s="2" t="s">
        <v>89</v>
      </c>
      <c r="C63" s="2"/>
      <c r="D63" s="2" t="s">
        <v>90</v>
      </c>
      <c r="E63" s="2"/>
      <c r="F63" s="2"/>
      <c r="G63" s="3" t="s">
        <v>30</v>
      </c>
      <c r="I63" s="32" t="s">
        <v>58</v>
      </c>
      <c r="J63" s="33" t="s">
        <v>19</v>
      </c>
    </row>
    <row r="64" spans="1:12" x14ac:dyDescent="0.3">
      <c r="A64" s="4"/>
      <c r="G64" s="5"/>
      <c r="I64" s="4"/>
      <c r="J64" s="5"/>
    </row>
    <row r="65" spans="1:11" x14ac:dyDescent="0.3">
      <c r="A65" s="4"/>
      <c r="G65" s="5"/>
      <c r="I65" s="4" t="s">
        <v>59</v>
      </c>
      <c r="J65" s="14">
        <f>G67+G69+G70+G71+G72</f>
        <v>11409.830575342467</v>
      </c>
      <c r="K65" s="13"/>
    </row>
    <row r="66" spans="1:11" x14ac:dyDescent="0.3">
      <c r="A66" s="4" t="s">
        <v>0</v>
      </c>
      <c r="B66" t="s">
        <v>80</v>
      </c>
      <c r="C66" t="s">
        <v>81</v>
      </c>
      <c r="D66" t="s">
        <v>82</v>
      </c>
      <c r="G66" s="5" t="s">
        <v>66</v>
      </c>
      <c r="I66" s="4" t="s">
        <v>60</v>
      </c>
      <c r="J66" s="14">
        <f>-G75</f>
        <v>3855.1088416438351</v>
      </c>
    </row>
    <row r="67" spans="1:11" x14ac:dyDescent="0.3">
      <c r="A67" s="4">
        <v>1000</v>
      </c>
      <c r="B67" t="s">
        <v>67</v>
      </c>
      <c r="C67">
        <v>80</v>
      </c>
      <c r="D67">
        <v>111</v>
      </c>
      <c r="F67" s="6"/>
      <c r="G67" s="21">
        <f>C67*D67</f>
        <v>8880</v>
      </c>
      <c r="I67" s="9" t="s">
        <v>61</v>
      </c>
      <c r="J67" s="15">
        <f>J65*0.011</f>
        <v>125.50813632876712</v>
      </c>
    </row>
    <row r="68" spans="1:11" x14ac:dyDescent="0.3">
      <c r="A68" s="4"/>
      <c r="B68" t="s">
        <v>68</v>
      </c>
      <c r="F68" s="24">
        <f>G67</f>
        <v>8880</v>
      </c>
      <c r="G68" s="21"/>
    </row>
    <row r="69" spans="1:11" x14ac:dyDescent="0.3">
      <c r="A69" s="4"/>
      <c r="B69" s="48" t="s">
        <v>91</v>
      </c>
      <c r="C69" s="48">
        <v>14</v>
      </c>
      <c r="D69" s="49">
        <v>71610</v>
      </c>
      <c r="E69" s="49"/>
      <c r="F69" s="50"/>
      <c r="G69" s="51">
        <f>D69/365*C69</f>
        <v>2746.6849315068494</v>
      </c>
    </row>
    <row r="70" spans="1:11" x14ac:dyDescent="0.3">
      <c r="A70" s="4"/>
      <c r="B70" s="48" t="s">
        <v>75</v>
      </c>
      <c r="C70" s="48" t="s">
        <v>34</v>
      </c>
      <c r="D70" s="52">
        <v>6000</v>
      </c>
      <c r="E70" s="52"/>
      <c r="F70" s="50"/>
      <c r="G70" s="51">
        <v>230</v>
      </c>
      <c r="I70" t="s">
        <v>62</v>
      </c>
      <c r="J70" s="39" t="s">
        <v>63</v>
      </c>
    </row>
    <row r="71" spans="1:11" x14ac:dyDescent="0.3">
      <c r="A71" s="4"/>
      <c r="B71" s="48" t="s">
        <v>70</v>
      </c>
      <c r="C71" s="48" t="s">
        <v>34</v>
      </c>
      <c r="D71" s="52">
        <v>6000</v>
      </c>
      <c r="E71" s="52"/>
      <c r="F71" s="50"/>
      <c r="G71" s="51">
        <v>230</v>
      </c>
      <c r="I71" s="39">
        <v>2023</v>
      </c>
      <c r="J71" s="40">
        <v>7.0000000000000007E-2</v>
      </c>
    </row>
    <row r="72" spans="1:11" x14ac:dyDescent="0.3">
      <c r="A72" s="9"/>
      <c r="B72" s="10" t="s">
        <v>92</v>
      </c>
      <c r="C72" s="10"/>
      <c r="D72" s="57">
        <v>5.6000000000000001E-2</v>
      </c>
      <c r="E72" s="18"/>
      <c r="F72" s="27">
        <f>SUM(G67:G71)</f>
        <v>12086.68493150685</v>
      </c>
      <c r="G72" s="28">
        <f>-F72*D72</f>
        <v>-676.8543561643836</v>
      </c>
      <c r="I72" s="39">
        <v>2024</v>
      </c>
      <c r="J72" s="40">
        <v>0.08</v>
      </c>
    </row>
    <row r="73" spans="1:11" x14ac:dyDescent="0.3">
      <c r="A73" s="4"/>
      <c r="B73" t="s">
        <v>71</v>
      </c>
      <c r="D73" s="7"/>
      <c r="E73" s="7"/>
      <c r="F73" s="24"/>
      <c r="G73" s="22">
        <f>SUM(G67:G72)</f>
        <v>11409.830575342467</v>
      </c>
      <c r="I73" s="39">
        <v>2025</v>
      </c>
      <c r="J73" s="40">
        <v>0.09</v>
      </c>
    </row>
    <row r="74" spans="1:11" x14ac:dyDescent="0.3">
      <c r="A74" s="4"/>
      <c r="B74" t="s">
        <v>72</v>
      </c>
      <c r="F74" s="24">
        <v>-2231</v>
      </c>
      <c r="G74" s="21"/>
      <c r="I74" s="39">
        <v>2026</v>
      </c>
      <c r="J74" s="40">
        <v>0.1</v>
      </c>
    </row>
    <row r="75" spans="1:11" x14ac:dyDescent="0.3">
      <c r="A75" s="4"/>
      <c r="B75" t="s">
        <v>73</v>
      </c>
      <c r="C75" s="12">
        <f>G67+G72+F74+G69+G70+G71</f>
        <v>9178.8305753424647</v>
      </c>
      <c r="D75" s="7">
        <v>0.42</v>
      </c>
      <c r="E75" s="7"/>
      <c r="F75" s="24"/>
      <c r="G75" s="21">
        <f>-(C75)*D75</f>
        <v>-3855.1088416438351</v>
      </c>
    </row>
    <row r="76" spans="1:11" x14ac:dyDescent="0.3">
      <c r="A76" s="4"/>
      <c r="B76" s="48" t="s">
        <v>74</v>
      </c>
      <c r="C76" s="49"/>
      <c r="D76" s="48"/>
      <c r="E76" s="48"/>
      <c r="F76" s="50"/>
      <c r="G76" s="51">
        <f>-D69/365*C69</f>
        <v>-2746.6849315068494</v>
      </c>
      <c r="I76" t="s">
        <v>94</v>
      </c>
    </row>
    <row r="77" spans="1:11" x14ac:dyDescent="0.3">
      <c r="A77" s="4"/>
      <c r="B77" s="48" t="s">
        <v>75</v>
      </c>
      <c r="C77" s="49"/>
      <c r="D77" s="48"/>
      <c r="E77" s="48"/>
      <c r="F77" s="50"/>
      <c r="G77" s="51">
        <f>-6000/365*14</f>
        <v>-230.13698630136989</v>
      </c>
      <c r="I77" t="s">
        <v>107</v>
      </c>
    </row>
    <row r="78" spans="1:11" x14ac:dyDescent="0.3">
      <c r="A78" s="4"/>
      <c r="B78" s="48" t="s">
        <v>70</v>
      </c>
      <c r="C78" s="49"/>
      <c r="D78" s="48"/>
      <c r="E78" s="48"/>
      <c r="F78" s="50"/>
      <c r="G78" s="51">
        <f>-6000/365*14</f>
        <v>-230.13698630136989</v>
      </c>
      <c r="I78" t="s">
        <v>96</v>
      </c>
    </row>
    <row r="79" spans="1:11" ht="15" thickBot="1" x14ac:dyDescent="0.35">
      <c r="A79" s="4"/>
      <c r="B79" t="s">
        <v>76</v>
      </c>
      <c r="C79" s="12"/>
      <c r="F79" s="24"/>
      <c r="G79" s="23">
        <f>G67+G72+G78+G69+G70+G71+G75+G76+G77</f>
        <v>4347.7628295890427</v>
      </c>
      <c r="H79" s="8"/>
      <c r="I79" s="12">
        <f>SUM(G67:G71)</f>
        <v>12086.68493150685</v>
      </c>
      <c r="J79" s="7">
        <v>7.0000000000000007E-2</v>
      </c>
      <c r="K79" s="60">
        <f>I79*J79</f>
        <v>846.06794520547965</v>
      </c>
    </row>
    <row r="80" spans="1:11" ht="15" thickTop="1" x14ac:dyDescent="0.3">
      <c r="A80" s="4"/>
      <c r="C80" s="12"/>
      <c r="F80" s="12"/>
      <c r="G80" s="5"/>
      <c r="I80" t="s">
        <v>108</v>
      </c>
    </row>
    <row r="81" spans="1:13" x14ac:dyDescent="0.3">
      <c r="A81" s="4"/>
      <c r="B81" t="s">
        <v>109</v>
      </c>
      <c r="C81" s="12">
        <f>F68</f>
        <v>8880</v>
      </c>
      <c r="D81" s="7">
        <v>0.02</v>
      </c>
      <c r="E81" s="7"/>
      <c r="F81" s="24">
        <f>C81*D81</f>
        <v>177.6</v>
      </c>
      <c r="G81" s="5"/>
      <c r="I81" t="s">
        <v>97</v>
      </c>
    </row>
    <row r="82" spans="1:13" x14ac:dyDescent="0.3">
      <c r="A82" s="4"/>
      <c r="B82" s="10" t="s">
        <v>112</v>
      </c>
      <c r="C82" s="63">
        <f>F72</f>
        <v>12086.68493150685</v>
      </c>
      <c r="D82" s="58">
        <f>D72</f>
        <v>5.6000000000000001E-2</v>
      </c>
      <c r="E82" s="7"/>
      <c r="F82" s="24">
        <f>-G72</f>
        <v>676.8543561643836</v>
      </c>
      <c r="G82" s="5"/>
    </row>
    <row r="83" spans="1:13" ht="15" thickBot="1" x14ac:dyDescent="0.35">
      <c r="A83" s="4"/>
      <c r="B83" t="s">
        <v>93</v>
      </c>
      <c r="D83" s="59">
        <f>SUM(D81:D82)</f>
        <v>7.5999999999999998E-2</v>
      </c>
      <c r="E83" s="26"/>
      <c r="F83" s="25">
        <f>SUM(F81:F82)</f>
        <v>854.45435616438363</v>
      </c>
      <c r="G83" s="5"/>
      <c r="I83" t="s">
        <v>114</v>
      </c>
    </row>
    <row r="84" spans="1:13" ht="15" thickTop="1" x14ac:dyDescent="0.3">
      <c r="A84" s="4"/>
      <c r="G84" s="5"/>
      <c r="I84" t="s">
        <v>99</v>
      </c>
    </row>
    <row r="85" spans="1:13" ht="15" thickBot="1" x14ac:dyDescent="0.35">
      <c r="A85" s="42"/>
      <c r="B85" s="41" t="s">
        <v>78</v>
      </c>
      <c r="C85" s="41"/>
      <c r="D85" s="41"/>
      <c r="E85" s="41"/>
      <c r="F85" s="41"/>
      <c r="G85" s="43"/>
      <c r="H85" s="42"/>
      <c r="I85" s="41" t="s">
        <v>79</v>
      </c>
      <c r="J85" s="41"/>
      <c r="K85" s="41"/>
      <c r="L85" s="41"/>
      <c r="M85" s="41"/>
    </row>
    <row r="87" spans="1:13" x14ac:dyDescent="0.3">
      <c r="B87" s="19" t="s">
        <v>113</v>
      </c>
      <c r="C87" s="20"/>
      <c r="D87" s="19"/>
      <c r="E87" s="19"/>
      <c r="F87" s="17"/>
    </row>
    <row r="88" spans="1:13" x14ac:dyDescent="0.3">
      <c r="A88" s="1"/>
      <c r="B88" s="2" t="s">
        <v>89</v>
      </c>
      <c r="C88" s="2"/>
      <c r="D88" s="2" t="s">
        <v>90</v>
      </c>
      <c r="E88" s="2"/>
      <c r="F88" s="2"/>
      <c r="G88" s="3" t="s">
        <v>30</v>
      </c>
      <c r="I88" s="32" t="s">
        <v>58</v>
      </c>
      <c r="J88" s="33" t="s">
        <v>31</v>
      </c>
    </row>
    <row r="89" spans="1:13" x14ac:dyDescent="0.3">
      <c r="A89" s="4"/>
      <c r="G89" s="5"/>
      <c r="I89" s="4"/>
      <c r="J89" s="5"/>
    </row>
    <row r="90" spans="1:13" x14ac:dyDescent="0.3">
      <c r="A90" s="4"/>
      <c r="G90" s="5"/>
      <c r="I90" s="4" t="s">
        <v>59</v>
      </c>
      <c r="J90" s="14">
        <f>G92+G94+G95+G96+G97</f>
        <v>11240.871780821919</v>
      </c>
    </row>
    <row r="91" spans="1:13" x14ac:dyDescent="0.3">
      <c r="A91" s="4" t="s">
        <v>0</v>
      </c>
      <c r="B91" t="s">
        <v>80</v>
      </c>
      <c r="C91" t="s">
        <v>81</v>
      </c>
      <c r="D91" t="s">
        <v>82</v>
      </c>
      <c r="G91" s="5" t="s">
        <v>66</v>
      </c>
      <c r="I91" s="4" t="s">
        <v>60</v>
      </c>
      <c r="J91" s="14">
        <f>-G100</f>
        <v>3784.146147945205</v>
      </c>
    </row>
    <row r="92" spans="1:13" x14ac:dyDescent="0.3">
      <c r="A92" s="4">
        <v>1000</v>
      </c>
      <c r="B92" t="s">
        <v>67</v>
      </c>
      <c r="C92">
        <v>80</v>
      </c>
      <c r="D92">
        <v>111</v>
      </c>
      <c r="F92" s="6"/>
      <c r="G92" s="21">
        <f>C92*D92</f>
        <v>8880</v>
      </c>
      <c r="I92" s="9" t="s">
        <v>61</v>
      </c>
      <c r="J92" s="15">
        <f>J90*0.011</f>
        <v>123.6495895890411</v>
      </c>
    </row>
    <row r="93" spans="1:13" x14ac:dyDescent="0.3">
      <c r="A93" s="4"/>
      <c r="B93" t="s">
        <v>68</v>
      </c>
      <c r="F93" s="24">
        <f>G92</f>
        <v>8880</v>
      </c>
      <c r="G93" s="21"/>
    </row>
    <row r="94" spans="1:13" x14ac:dyDescent="0.3">
      <c r="A94" s="4"/>
      <c r="B94" s="48" t="s">
        <v>91</v>
      </c>
      <c r="C94" s="48">
        <v>14</v>
      </c>
      <c r="D94" s="49">
        <v>71610</v>
      </c>
      <c r="E94" s="49"/>
      <c r="F94" s="50"/>
      <c r="G94" s="51">
        <f>D94/365*C94</f>
        <v>2746.6849315068494</v>
      </c>
    </row>
    <row r="95" spans="1:13" x14ac:dyDescent="0.3">
      <c r="A95" s="4"/>
      <c r="B95" s="48" t="s">
        <v>75</v>
      </c>
      <c r="C95" s="48" t="s">
        <v>34</v>
      </c>
      <c r="D95" s="52">
        <v>6000</v>
      </c>
      <c r="E95" s="52"/>
      <c r="F95" s="50"/>
      <c r="G95" s="51">
        <f>D95/365*14</f>
        <v>230.13698630136989</v>
      </c>
    </row>
    <row r="96" spans="1:13" x14ac:dyDescent="0.3">
      <c r="A96" s="4"/>
      <c r="B96" s="48" t="s">
        <v>70</v>
      </c>
      <c r="C96" s="48" t="s">
        <v>34</v>
      </c>
      <c r="D96" s="52">
        <v>6000</v>
      </c>
      <c r="E96" s="52"/>
      <c r="F96" s="50"/>
      <c r="G96" s="51">
        <f>D96/365*14</f>
        <v>230.13698630136989</v>
      </c>
      <c r="I96" t="s">
        <v>95</v>
      </c>
    </row>
    <row r="97" spans="1:11" x14ac:dyDescent="0.3">
      <c r="A97" s="9"/>
      <c r="B97" s="10" t="s">
        <v>92</v>
      </c>
      <c r="C97" s="10"/>
      <c r="D97" s="18">
        <v>7.0000000000000007E-2</v>
      </c>
      <c r="E97" s="18"/>
      <c r="F97" s="27">
        <f>SUM(G92:G96)</f>
        <v>12086.95890410959</v>
      </c>
      <c r="G97" s="28">
        <f>-F97*D97</f>
        <v>-846.08712328767137</v>
      </c>
      <c r="I97" t="s">
        <v>96</v>
      </c>
    </row>
    <row r="98" spans="1:11" x14ac:dyDescent="0.3">
      <c r="A98" s="4"/>
      <c r="B98" t="s">
        <v>71</v>
      </c>
      <c r="D98" s="7"/>
      <c r="E98" s="7"/>
      <c r="F98" s="24"/>
      <c r="G98" s="22">
        <f>SUM(G92:G97)</f>
        <v>11240.871780821919</v>
      </c>
    </row>
    <row r="99" spans="1:11" x14ac:dyDescent="0.3">
      <c r="A99" s="4"/>
      <c r="B99" t="s">
        <v>72</v>
      </c>
      <c r="F99" s="24">
        <v>-2231</v>
      </c>
      <c r="G99" s="21"/>
      <c r="I99" s="12">
        <f>SUM(G67:G71)</f>
        <v>12086.68493150685</v>
      </c>
      <c r="J99" s="7">
        <v>7.0000000000000007E-2</v>
      </c>
      <c r="K99" s="34">
        <f>I99*J99</f>
        <v>846.06794520547965</v>
      </c>
    </row>
    <row r="100" spans="1:11" x14ac:dyDescent="0.3">
      <c r="A100" s="4"/>
      <c r="B100" t="s">
        <v>73</v>
      </c>
      <c r="C100" s="12">
        <f>G92+G97+F99+G94+G95+G96</f>
        <v>9009.8717808219171</v>
      </c>
      <c r="D100" s="7">
        <v>0.42</v>
      </c>
      <c r="E100" s="7"/>
      <c r="F100" s="24"/>
      <c r="G100" s="21">
        <f>-(C100)*D100</f>
        <v>-3784.146147945205</v>
      </c>
    </row>
    <row r="101" spans="1:11" x14ac:dyDescent="0.3">
      <c r="A101" s="4"/>
      <c r="B101" s="48" t="s">
        <v>74</v>
      </c>
      <c r="C101" s="49"/>
      <c r="D101" s="48"/>
      <c r="E101" s="48"/>
      <c r="F101" s="50"/>
      <c r="G101" s="51">
        <f>-D94/365*C94</f>
        <v>-2746.6849315068494</v>
      </c>
    </row>
    <row r="102" spans="1:11" x14ac:dyDescent="0.3">
      <c r="A102" s="4"/>
      <c r="B102" s="48" t="s">
        <v>75</v>
      </c>
      <c r="C102" s="49"/>
      <c r="D102" s="48"/>
      <c r="E102" s="48"/>
      <c r="F102" s="50"/>
      <c r="G102" s="51">
        <f>-6000/365*14</f>
        <v>-230.13698630136989</v>
      </c>
      <c r="I102" t="s">
        <v>108</v>
      </c>
    </row>
    <row r="103" spans="1:11" x14ac:dyDescent="0.3">
      <c r="A103" s="4"/>
      <c r="B103" s="48" t="s">
        <v>70</v>
      </c>
      <c r="C103" s="49"/>
      <c r="D103" s="48"/>
      <c r="E103" s="48"/>
      <c r="F103" s="50"/>
      <c r="G103" s="51">
        <f>-6000/365*14</f>
        <v>-230.13698630136989</v>
      </c>
      <c r="I103" t="s">
        <v>97</v>
      </c>
    </row>
    <row r="104" spans="1:11" ht="15" thickBot="1" x14ac:dyDescent="0.35">
      <c r="A104" s="4"/>
      <c r="B104" t="s">
        <v>76</v>
      </c>
      <c r="C104" s="12"/>
      <c r="F104" s="24"/>
      <c r="G104" s="23">
        <f>G92+G97+G103+G94+G95+G96+G100+G101+G102</f>
        <v>4249.7667287671238</v>
      </c>
      <c r="H104" s="8"/>
    </row>
    <row r="105" spans="1:11" ht="15" thickTop="1" x14ac:dyDescent="0.3">
      <c r="A105" s="4"/>
      <c r="C105" s="12"/>
      <c r="F105" s="12"/>
      <c r="G105" s="5"/>
    </row>
    <row r="106" spans="1:11" x14ac:dyDescent="0.3">
      <c r="A106" s="4"/>
      <c r="B106" t="s">
        <v>105</v>
      </c>
      <c r="C106" s="34">
        <f>F93</f>
        <v>8880</v>
      </c>
      <c r="D106" s="7">
        <v>0</v>
      </c>
      <c r="E106" s="7"/>
      <c r="F106" s="24">
        <f>C106*D106</f>
        <v>0</v>
      </c>
      <c r="G106" s="5"/>
    </row>
    <row r="107" spans="1:11" x14ac:dyDescent="0.3">
      <c r="A107" s="4"/>
      <c r="B107" t="s">
        <v>112</v>
      </c>
      <c r="C107" s="34">
        <f>F97</f>
        <v>12086.95890410959</v>
      </c>
      <c r="D107" s="7">
        <v>7.0000000000000007E-2</v>
      </c>
      <c r="E107" s="7"/>
      <c r="F107" s="24">
        <f>-G97</f>
        <v>846.08712328767137</v>
      </c>
      <c r="G107" s="5"/>
    </row>
    <row r="108" spans="1:11" ht="15" thickBot="1" x14ac:dyDescent="0.35">
      <c r="A108" s="4"/>
      <c r="B108" t="s">
        <v>93</v>
      </c>
      <c r="D108" s="26">
        <f>SUM(D106:D107)</f>
        <v>7.0000000000000007E-2</v>
      </c>
      <c r="E108" s="26"/>
      <c r="F108" s="25">
        <f>SUM(F106:F107)</f>
        <v>846.08712328767137</v>
      </c>
      <c r="G108" s="5"/>
    </row>
    <row r="109" spans="1:11" ht="15" thickTop="1" x14ac:dyDescent="0.3">
      <c r="A109" s="4"/>
      <c r="G109" s="5"/>
    </row>
    <row r="110" spans="1:11" x14ac:dyDescent="0.3">
      <c r="A110" s="9"/>
      <c r="B110" s="10" t="s">
        <v>78</v>
      </c>
      <c r="C110" s="10"/>
      <c r="D110" s="10"/>
      <c r="E110" s="10"/>
      <c r="F110" s="10"/>
      <c r="G110" s="11"/>
    </row>
  </sheetData>
  <pageMargins left="0.7" right="0.7" top="0.75" bottom="0.75" header="0.3" footer="0.3"/>
  <pageSetup paperSize="9" scale="60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Md løn med udl.+grl+14 dags</vt:lpstr>
      <vt:lpstr>grl Md løn med udl.+grl+14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Poulsen Heilmann</dc:creator>
  <cp:lastModifiedBy>Mikael Munch</cp:lastModifiedBy>
  <cp:lastPrinted>2022-09-27T14:04:07Z</cp:lastPrinted>
  <dcterms:created xsi:type="dcterms:W3CDTF">2022-07-29T11:00:40Z</dcterms:created>
  <dcterms:modified xsi:type="dcterms:W3CDTF">2023-01-18T17:54:37Z</dcterms:modified>
</cp:coreProperties>
</file>