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Sulinal dokumenter\"/>
    </mc:Choice>
  </mc:AlternateContent>
  <xr:revisionPtr revIDLastSave="0" documentId="8_{8A5A701F-0D5C-4B96-BF0E-0029F9162B98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120" yWindow="-120" windowWidth="29040" windowHeight="15840" activeTab="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U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F4" i="4"/>
  <c r="AA129" i="2" l="1"/>
  <c r="AA66" i="2"/>
  <c r="U65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<sst xmlns="http://schemas.openxmlformats.org/spreadsheetml/2006/main" count="1487" uniqueCount="363">
  <si>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</si>
  <si>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</si>
  <si>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</si>
  <si>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</si>
  <si>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</si>
  <si>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</si>
  <si>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</si>
  <si>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</si>
  <si>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</si>
  <si>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</si>
  <si>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</si>
  <si>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</si>
  <si>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</si>
  <si>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</si>
  <si>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</si>
  <si>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</si>
  <si>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</si>
  <si>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</si>
  <si>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</si>
  <si>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</si>
  <si>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</si>
  <si>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</si>
  <si>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</si>
  <si>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</si>
  <si>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</si>
  <si>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</si>
  <si>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</si>
  <si>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</si>
  <si>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</si>
  <si>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</si>
  <si>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</si>
  <si>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</si>
  <si>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</si>
  <si>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</si>
  <si>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</si>
  <si>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</si>
  <si>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</si>
  <si>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</si>
  <si>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</si>
  <si>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</si>
  <si>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</si>
  <si>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</si>
  <si>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</si>
  <si>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</si>
  <si>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</si>
  <si>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</si>
  <si>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</si>
  <si>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</si>
  <si>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</si>
  <si>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</si>
  <si>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</si>
  <si>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</si>
  <si>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</si>
  <si>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</si>
  <si>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</si>
  <si>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</si>
  <si>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</si>
  <si>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</si>
  <si>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</si>
  <si>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</si>
  <si>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</si>
  <si>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</si>
  <si>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</si>
  <si>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</si>
  <si>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</si>
  <si>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</si>
  <si>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</si>
  <si>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</si>
  <si>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</si>
  <si>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</si>
  <si>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</si>
  <si>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</si>
  <si>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</si>
  <si>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</si>
  <si>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</si>
  <si>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</si>
  <si>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</si>
  <si>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</si>
  <si>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</si>
  <si>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</si>
  <si>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</si>
  <si>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</si>
  <si>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</si>
  <si>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</si>
  <si>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</si>
  <si>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</si>
  <si>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</si>
  <si>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</si>
  <si>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</si>
  <si>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</si>
  <si>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</si>
  <si>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</si>
  <si>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</si>
  <si>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</si>
  <si>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</si>
  <si>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</si>
  <si>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</si>
  <si>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</si>
  <si>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</si>
  <si>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</si>
  <si>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</si>
  <si>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</si>
  <si>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</si>
  <si>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</si>
  <si>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</si>
  <si>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</si>
  <si>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</si>
  <si>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</si>
  <si>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</si>
  <si>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</si>
  <si>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</si>
  <si>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</si>
  <si>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</si>
  <si>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</si>
  <si>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</si>
  <si>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</si>
  <si>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</si>
  <si>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</si>
  <si>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</si>
  <si>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</si>
  <si>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</si>
  <si>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</si>
  <si>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</si>
  <si>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</si>
  <si>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</si>
  <si>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</si>
  <si>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</si>
  <si>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</si>
  <si>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</si>
  <si>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</si>
  <si>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</si>
  <si>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</si>
  <si>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</si>
  <si>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</si>
  <si>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</si>
  <si>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</si>
  <si>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</si>
  <si>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</si>
  <si>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</si>
  <si>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</si>
  <si>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</si>
  <si>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</si>
  <si>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</si>
  <si>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</si>
  <si>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</si>
  <si>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</si>
  <si>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</si>
  <si>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</si>
  <si>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</si>
  <si>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</si>
  <si>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</si>
  <si>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</si>
  <si>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</si>
  <si>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</si>
  <si>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</si>
  <si>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</si>
  <si>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</si>
  <si>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</si>
  <si>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</si>
  <si>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</si>
  <si>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</si>
  <si>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</si>
  <si>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</si>
  <si>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</si>
  <si>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</si>
  <si>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</si>
  <si>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</si>
  <si>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</si>
  <si>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</si>
  <si>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</si>
  <si>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</si>
  <si>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</si>
  <si>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</si>
  <si>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</si>
  <si>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</si>
  <si>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</si>
  <si>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</si>
  <si>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</si>
  <si>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</si>
  <si>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</si>
  <si>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</si>
  <si>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</si>
  <si>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</si>
  <si>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</si>
  <si>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</si>
  <si>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</si>
  <si>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</si>
  <si>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</si>
  <si>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</si>
  <si>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</si>
  <si>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</si>
  <si>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</si>
  <si>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</si>
  <si>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</si>
  <si>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</si>
  <si>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</si>
  <si>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</si>
  <si>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</si>
  <si>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</si>
  <si>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</si>
  <si>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</si>
  <si>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</si>
  <si>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</si>
  <si>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</si>
  <si>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</si>
  <si>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</si>
  <si>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</si>
  <si>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</si>
  <si>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</si>
  <si>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</si>
  <si>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</si>
  <si>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</si>
  <si>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</si>
  <si>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</si>
  <si>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</si>
  <si>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</si>
  <si>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</si>
  <si>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</si>
  <si>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</si>
  <si>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</si>
  <si>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</si>
  <si>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</si>
  <si>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</si>
  <si>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</si>
  <si>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</si>
  <si>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</si>
  <si>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</si>
  <si>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</si>
  <si>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</si>
  <si>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</si>
  <si>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</si>
  <si>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</si>
  <si>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</si>
  <si>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</si>
  <si>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</si>
  <si>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</si>
  <si>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</si>
  <si>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</si>
  <si>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</si>
  <si>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</si>
  <si>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</si>
  <si>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</si>
  <si>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</si>
  <si>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</si>
  <si>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</si>
  <si>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</si>
  <si>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</si>
  <si>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</si>
  <si>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</si>
  <si>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</si>
  <si>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</si>
  <si>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</si>
  <si>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</si>
  <si>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</si>
  <si>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</si>
  <si>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</si>
  <si>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</si>
  <si>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</si>
  <si>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</si>
  <si>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</si>
  <si>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</si>
  <si>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</si>
  <si>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</si>
  <si>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</si>
  <si>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</si>
  <si>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</si>
  <si>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</si>
  <si>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</si>
  <si>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</si>
  <si>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</si>
  <si>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</si>
  <si>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</si>
  <si>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</si>
  <si>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</si>
  <si>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</si>
  <si>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</si>
  <si>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</si>
  <si>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</si>
  <si>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</si>
  <si>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</si>
  <si>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</si>
  <si>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</si>
  <si>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</si>
  <si>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</si>
  <si>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</si>
  <si>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</si>
  <si>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</si>
  <si>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</si>
  <si>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</si>
  <si>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</si>
  <si>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</si>
  <si>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</si>
  <si>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</si>
  <si>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</si>
  <si>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</si>
  <si>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</si>
  <si>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</si>
  <si>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</si>
  <si>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</si>
  <si>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</si>
  <si>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</si>
  <si>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</si>
  <si>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</si>
  <si>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</si>
  <si>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</si>
  <si>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</si>
  <si>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</si>
  <si>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</si>
  <si>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</si>
  <si>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</si>
  <si>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</si>
  <si>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</si>
  <si>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</si>
  <si>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</si>
  <si>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</si>
  <si>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</si>
  <si>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</si>
  <si>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</si>
  <si>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</si>
  <si>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</si>
  <si>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</si>
  <si>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</si>
  <si>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</si>
  <si>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</si>
  <si>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</si>
  <si>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</si>
  <si>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</si>
  <si>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</si>
  <si>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</si>
  <si>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</si>
  <si>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</si>
  <si>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</si>
  <si>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</si>
  <si>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</si>
  <si>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</si>
  <si>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</si>
  <si>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</si>
  <si>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</si>
  <si>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</si>
  <si>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</si>
  <si>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</si>
  <si>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</si>
  <si>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</si>
  <si>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</si>
  <si>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</si>
  <si>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</si>
  <si>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</si>
  <si>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</si>
  <si>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</si>
  <si>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</si>
  <si>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Valutakurser (nationalbanken.dk)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</si>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</sst>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9" fillId="3" borderId="0" xfId="0" applyFont="1" applyFill="1" applyAlignment="1">
      <alignment horizont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90" t="s">
        <v>328</v>
      </c>
      <c r="C2" s="191"/>
      <c r="D2" s="191"/>
      <c r="E2" s="191"/>
      <c r="F2" s="191"/>
      <c r="G2" s="191"/>
      <c r="H2" s="191"/>
      <c r="I2" s="191"/>
      <c r="J2" s="192"/>
      <c r="K2" s="2"/>
    </row>
    <row r="3" spans="1:11" ht="14.25" customHeight="1" x14ac:dyDescent="0.25">
      <c r="A3" s="1"/>
      <c r="B3" s="193"/>
      <c r="C3" s="194"/>
      <c r="D3" s="194"/>
      <c r="E3" s="194"/>
      <c r="F3" s="194"/>
      <c r="G3" s="194"/>
      <c r="H3" s="194"/>
      <c r="I3" s="194"/>
      <c r="J3" s="195"/>
      <c r="K3" s="2"/>
    </row>
    <row r="4" spans="1:11" ht="14.25" customHeight="1" x14ac:dyDescent="0.25">
      <c r="A4" s="1"/>
      <c r="B4" s="193"/>
      <c r="C4" s="194"/>
      <c r="D4" s="194"/>
      <c r="E4" s="194"/>
      <c r="F4" s="194"/>
      <c r="G4" s="194"/>
      <c r="H4" s="194"/>
      <c r="I4" s="194"/>
      <c r="J4" s="195"/>
      <c r="K4" s="2"/>
    </row>
    <row r="5" spans="1:11" ht="14.25" customHeight="1" x14ac:dyDescent="0.25">
      <c r="A5" s="1"/>
      <c r="B5" s="196"/>
      <c r="C5" s="182"/>
      <c r="D5" s="182"/>
      <c r="E5" s="182"/>
      <c r="F5" s="182"/>
      <c r="G5" s="182"/>
      <c r="H5" s="182"/>
      <c r="I5" s="182"/>
      <c r="J5" s="183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7" t="s">
        <v>0</v>
      </c>
      <c r="C7" s="191"/>
      <c r="D7" s="191"/>
      <c r="E7" s="191"/>
      <c r="F7" s="191"/>
      <c r="G7" s="191"/>
      <c r="H7" s="191"/>
      <c r="I7" s="191"/>
      <c r="J7" s="192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4"/>
      <c r="F9" s="185"/>
      <c r="G9" s="185"/>
      <c r="H9" s="185"/>
      <c r="I9" s="186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84"/>
      <c r="F11" s="185"/>
      <c r="G11" s="185"/>
      <c r="H11" s="185"/>
      <c r="I11" s="186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8"/>
      <c r="F13" s="185"/>
      <c r="G13" s="185"/>
      <c r="H13" s="185"/>
      <c r="I13" s="186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8"/>
      <c r="F15" s="185"/>
      <c r="G15" s="185"/>
      <c r="H15" s="185"/>
      <c r="I15" s="186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4"/>
      <c r="F17" s="185"/>
      <c r="G17" s="185"/>
      <c r="H17" s="185"/>
      <c r="I17" s="186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4"/>
      <c r="F19" s="185"/>
      <c r="G19" s="185"/>
      <c r="H19" s="185"/>
      <c r="I19" s="186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4"/>
      <c r="F21" s="185"/>
      <c r="G21" s="185"/>
      <c r="H21" s="185"/>
      <c r="I21" s="186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87"/>
      <c r="F23" s="186"/>
      <c r="G23" s="29"/>
      <c r="H23" s="188"/>
      <c r="I23" s="180"/>
      <c r="J23" s="32"/>
      <c r="K23" s="2"/>
    </row>
    <row r="24" spans="1:11" x14ac:dyDescent="0.25">
      <c r="A24" s="1"/>
      <c r="B24" s="12"/>
      <c r="C24" s="13"/>
      <c r="D24" s="13"/>
      <c r="E24" s="189"/>
      <c r="F24" s="180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79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8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8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81" t="s">
        <v>327</v>
      </c>
      <c r="I31" s="182"/>
      <c r="J31" s="183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7" t="s">
        <v>334</v>
      </c>
      <c r="B2" s="180"/>
      <c r="C2" s="10"/>
      <c r="D2" s="11" t="s">
        <v>1</v>
      </c>
      <c r="E2" s="209" t="s">
        <v>34</v>
      </c>
      <c r="F2" s="185"/>
      <c r="G2" s="186"/>
      <c r="H2" s="16"/>
      <c r="I2" s="201" t="s">
        <v>11</v>
      </c>
      <c r="J2" s="180"/>
      <c r="K2" s="202"/>
      <c r="L2" s="185"/>
      <c r="M2" s="185"/>
      <c r="N2" s="186"/>
      <c r="O2" s="21"/>
      <c r="P2" s="25"/>
      <c r="Q2" s="25"/>
      <c r="R2" s="25"/>
      <c r="S2" s="27" t="str">
        <f>CONCATENATE("Total gross income in ",E2,":")</f>
        <v>Total gross income in April:</v>
      </c>
      <c r="T2" s="203">
        <f>SUM(T9:T161)</f>
        <v>0</v>
      </c>
      <c r="U2" s="204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8"/>
      <c r="B3" s="180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April:</v>
      </c>
      <c r="T3" s="203">
        <f>SUM(U9:U161)</f>
        <v>0</v>
      </c>
      <c r="U3" s="204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8"/>
      <c r="B4" s="180"/>
      <c r="C4" s="10"/>
      <c r="D4" s="11" t="s">
        <v>23</v>
      </c>
      <c r="E4" s="114"/>
      <c r="F4" s="6">
        <v>2023</v>
      </c>
      <c r="G4" s="6"/>
      <c r="H4" s="16"/>
      <c r="I4" s="212" t="s">
        <v>24</v>
      </c>
      <c r="J4" s="180"/>
      <c r="K4" s="202"/>
      <c r="L4" s="185"/>
      <c r="M4" s="185"/>
      <c r="N4" s="186"/>
      <c r="O4" s="21"/>
      <c r="P4" s="25"/>
      <c r="Q4" s="25"/>
      <c r="R4" s="25"/>
      <c r="S4" s="27" t="str">
        <f>CONCATENATE("Total AMA in ",E2,":")</f>
        <v>Total AMA in April:</v>
      </c>
      <c r="T4" s="203">
        <f>ROUNDUP(SUM(AA9:AA161)*0.011,0)</f>
        <v>0</v>
      </c>
      <c r="U4" s="204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3" t="str">
        <f>"(9)"</f>
        <v>(9)</v>
      </c>
      <c r="F6" s="214"/>
      <c r="G6" s="214"/>
      <c r="H6" s="214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0"/>
      <c r="B7" s="199" t="s">
        <v>43</v>
      </c>
      <c r="C7" s="199" t="s">
        <v>44</v>
      </c>
      <c r="D7" s="199" t="s">
        <v>45</v>
      </c>
      <c r="E7" s="199" t="s">
        <v>46</v>
      </c>
      <c r="F7" s="180"/>
      <c r="G7" s="180"/>
      <c r="H7" s="180"/>
      <c r="I7" s="199" t="s">
        <v>47</v>
      </c>
      <c r="J7" s="199" t="s">
        <v>48</v>
      </c>
      <c r="K7" s="199" t="str">
        <f>CONCATENATE("Allowance according to tax card in ",E2)</f>
        <v>Allowance according to tax card in April</v>
      </c>
      <c r="L7" s="199" t="s">
        <v>49</v>
      </c>
      <c r="M7" s="199" t="str">
        <f>CONCATENATE("Taxable days in ",E2)</f>
        <v>Taxable days in April</v>
      </c>
      <c r="N7" s="199" t="s">
        <v>50</v>
      </c>
      <c r="O7" s="199" t="str">
        <f>CONCATENATE("Days with food/acc. in ",$E$2)</f>
        <v>Days with food/acc. in April</v>
      </c>
      <c r="P7" s="199" t="str">
        <f>CONCATENATE("Value of benefits in ",$E$2,", DKK")</f>
        <v>Value of benefits in April, DKK</v>
      </c>
      <c r="Q7" s="199" t="str">
        <f>CONCATENATE("Salary in ",$E$2)</f>
        <v>Salary in April</v>
      </c>
      <c r="R7" s="199" t="s">
        <v>51</v>
      </c>
      <c r="S7" s="199" t="s">
        <v>52</v>
      </c>
      <c r="T7" s="199" t="str">
        <f>CONCATENATE("Gross  income in ",$E$2,", DKK")</f>
        <v>Gross  income in April, DKK</v>
      </c>
      <c r="U7" s="205" t="str">
        <f>CONCATENATE("Withheld tax in ",$E$2,", DKK")</f>
        <v>Withheld tax in April, DKK</v>
      </c>
      <c r="V7" s="74"/>
      <c r="W7" s="76" t="s">
        <v>53</v>
      </c>
      <c r="X7" s="77" t="str">
        <f>CONCATENATE("Allowance in ",$E$2,", DKK")</f>
        <v>Allowance in April, DKK</v>
      </c>
      <c r="Y7" s="77" t="str">
        <f>CONCATENATE("Value of food/acc. in ",$E$2,", DKK")</f>
        <v>Value of food/acc. in April, DKK</v>
      </c>
      <c r="Z7" s="77" t="str">
        <f>CONCATENATE("Salary in ",$E$2,", DKK")</f>
        <v>Salary in April, DKK</v>
      </c>
      <c r="AA7" s="78" t="str">
        <f>CONCATENATE("Gross salary in ",$E$2,", DKK")</f>
        <v>Gross salary in April,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1"/>
      <c r="B8" s="200"/>
      <c r="C8" s="200"/>
      <c r="D8" s="200"/>
      <c r="E8" s="80" t="s">
        <v>28</v>
      </c>
      <c r="F8" s="80" t="s">
        <v>30</v>
      </c>
      <c r="G8" s="80" t="s">
        <v>31</v>
      </c>
      <c r="H8" s="81" t="s">
        <v>54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6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349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743.83090000000004</v>
      </c>
      <c r="C202" s="146">
        <f>Kurs!C5</f>
        <v>0</v>
      </c>
      <c r="D202" s="146">
        <f>Kurs!D5</f>
        <v>744.5643</v>
      </c>
      <c r="E202" s="146">
        <f>Kurs!E5</f>
        <v>745.18409999999994</v>
      </c>
      <c r="F202" s="146">
        <f>Kurs!F5</f>
        <v>0</v>
      </c>
      <c r="G202" s="146">
        <f>Kurs!G5</f>
        <v>0</v>
      </c>
      <c r="H202" s="146">
        <f>Kurs!H5</f>
        <v>0</v>
      </c>
      <c r="I202" s="146" t="str">
        <f>Kurs!I5</f>
        <v xml:space="preserve"> 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0</v>
      </c>
      <c r="BL202" s="147">
        <f>Kurs!D5</f>
        <v>744.5643</v>
      </c>
      <c r="BM202" s="147">
        <f>Kurs!E5</f>
        <v>745.18409999999994</v>
      </c>
      <c r="BN202" s="147">
        <f>Kurs!F5</f>
        <v>0</v>
      </c>
      <c r="BO202" s="147">
        <f>Kurs!G5</f>
        <v>0</v>
      </c>
      <c r="BP202" s="147">
        <f>Kurs!H5</f>
        <v>0</v>
      </c>
      <c r="BQ202" s="147" t="str">
        <f>Kurs!I5</f>
        <v xml:space="preserve"> 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690.79</v>
      </c>
      <c r="C203" s="146">
        <f>Kurs!C6</f>
        <v>0</v>
      </c>
      <c r="D203" s="146">
        <f>Kurs!D6</f>
        <v>695.54700000000003</v>
      </c>
      <c r="E203" s="146">
        <f>Kurs!E6</f>
        <v>679.25710000000004</v>
      </c>
      <c r="F203" s="146">
        <f>Kurs!F6</f>
        <v>0</v>
      </c>
      <c r="G203" s="146">
        <f>Kurs!G6</f>
        <v>0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</v>
      </c>
      <c r="BK203" s="147">
        <f>Kurs!C6</f>
        <v>0</v>
      </c>
      <c r="BL203" s="147">
        <f>Kurs!D6</f>
        <v>695.54700000000003</v>
      </c>
      <c r="BM203" s="147">
        <f>Kurs!E6</f>
        <v>679.25710000000004</v>
      </c>
      <c r="BN203" s="147">
        <f>Kurs!F6</f>
        <v>0</v>
      </c>
      <c r="BO203" s="147">
        <f>Kurs!G6</f>
        <v>0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336</v>
      </c>
      <c r="B204" s="146">
        <f>Kurs!B7</f>
        <v>513.91999999999996</v>
      </c>
      <c r="C204" s="146">
        <f>Kurs!C7</f>
        <v>0</v>
      </c>
      <c r="D204" s="146">
        <f>Kurs!D7</f>
        <v>508.31700000000001</v>
      </c>
      <c r="E204" s="146">
        <f>Kurs!E7</f>
        <v>503.65530000000001</v>
      </c>
      <c r="F204" s="146">
        <f>Kurs!F7</f>
        <v>0</v>
      </c>
      <c r="G204" s="146">
        <f>Kurs!G7</f>
        <v>0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81</v>
      </c>
      <c r="I211" s="175">
        <v>68</v>
      </c>
      <c r="J211" s="174">
        <f>+H210-H211</f>
        <v>-81</v>
      </c>
      <c r="K211" s="175">
        <f>ABS(+J211/K207)</f>
        <v>0.22191780821917809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17983</v>
      </c>
      <c r="I213" s="175">
        <v>99.23</v>
      </c>
      <c r="J213" s="174">
        <f>+H210-H213</f>
        <v>-17983</v>
      </c>
      <c r="K213" s="175">
        <f>ABS(+J213/K207)</f>
        <v>49.268493150684932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OBmeWNbp7hR5YQr8WKnouUykd1HF38hVN3NrW2S98T3dTV/D9Wm1DDAnysfoP7t+1pcMvKJYbZpOLketZIWJGg==" saltValue="4s9Ynq/vSXxr/sybf54rsg==" spinCount="100000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6"/>
    </row>
    <row r="2" spans="1:16" ht="18" customHeight="1" x14ac:dyDescent="0.25">
      <c r="A2" s="21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6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6"/>
      <c r="P3" s="33"/>
    </row>
    <row r="4" spans="1:16" ht="18" customHeight="1" x14ac:dyDescent="0.25">
      <c r="A4" s="222"/>
      <c r="B4" s="222"/>
      <c r="C4" s="208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80"/>
      <c r="H4" s="180"/>
      <c r="I4" s="44" t="str">
        <f>"3 )         N:"</f>
        <v>3 )         N:</v>
      </c>
      <c r="J4" s="218" t="s">
        <v>25</v>
      </c>
      <c r="K4" s="180"/>
      <c r="L4" s="180"/>
      <c r="M4" s="180"/>
      <c r="N4" s="180"/>
      <c r="O4" s="45"/>
      <c r="P4" s="46"/>
    </row>
    <row r="5" spans="1:16" ht="18" customHeight="1" x14ac:dyDescent="0.25">
      <c r="A5" s="222"/>
      <c r="B5" s="222"/>
      <c r="C5" s="208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0"/>
      <c r="H5" s="200"/>
      <c r="I5" s="44" t="str">
        <f>"4 )         F:"</f>
        <v>4 )         F:</v>
      </c>
      <c r="J5" s="219" t="s">
        <v>29</v>
      </c>
      <c r="K5" s="200"/>
      <c r="L5" s="200"/>
      <c r="M5" s="200"/>
      <c r="N5" s="200"/>
      <c r="O5" s="45"/>
      <c r="P5" s="50"/>
    </row>
    <row r="6" spans="1:16" ht="18" customHeight="1" x14ac:dyDescent="0.25">
      <c r="A6" s="222"/>
      <c r="B6" s="222"/>
      <c r="C6" s="208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25">
      <c r="A7" s="223"/>
      <c r="B7" s="223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11"/>
      <c r="C3" s="200"/>
      <c r="D3" s="200"/>
      <c r="E3" s="200"/>
      <c r="F3" s="200"/>
      <c r="G3" s="200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tabSelected="1" workbookViewId="0">
      <selection activeCell="E8" sqref="E8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2023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743.83090000000004</v>
      </c>
      <c r="C5" s="141"/>
      <c r="D5" s="141">
        <v>744.5643</v>
      </c>
      <c r="E5" s="141">
        <v>745.18409999999994</v>
      </c>
      <c r="F5" s="163"/>
      <c r="G5" s="163"/>
      <c r="H5" s="163"/>
      <c r="I5" s="164" t="s">
        <v>332</v>
      </c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690.79</v>
      </c>
      <c r="C6" s="141"/>
      <c r="D6" s="141">
        <v>695.54700000000003</v>
      </c>
      <c r="E6" s="141">
        <v>679.25710000000004</v>
      </c>
      <c r="F6" s="163"/>
      <c r="G6" s="163"/>
      <c r="H6" s="163"/>
      <c r="I6" s="164"/>
      <c r="J6" s="141"/>
      <c r="K6" s="141"/>
      <c r="L6" s="141"/>
      <c r="M6" s="141"/>
    </row>
    <row r="7" spans="1:13" ht="15" customHeight="1" x14ac:dyDescent="0.25">
      <c r="A7" s="139" t="s">
        <v>336</v>
      </c>
      <c r="B7" s="141">
        <v>513.91999999999996</v>
      </c>
      <c r="C7" s="141"/>
      <c r="D7" s="141">
        <v>508.31700000000001</v>
      </c>
      <c r="E7" s="141">
        <v>503.65530000000001</v>
      </c>
      <c r="F7" s="163"/>
      <c r="G7" s="163"/>
      <c r="H7" s="163"/>
      <c r="I7" s="164"/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/>
    </row>
    <row r="13" spans="1:13" ht="15" customHeight="1" x14ac:dyDescent="0.25">
      <c r="B13" s="178" t="s">
        <v>350</v>
      </c>
    </row>
    <row r="16" spans="1:13" ht="15" customHeight="1" x14ac:dyDescent="0.25">
      <c r="L16" t="s">
        <v>332</v>
      </c>
    </row>
  </sheetData>
  <sheetProtection algorithmName="SHA-512" hashValue="1+Jhr55idPtqRTMmjKBGEGFbune2/ftAwhLN+w1YEpDuJYziRKMhcKOfrIMAxR4fbMMDOSB4HIWpku+AGKMR5A==" saltValue="lqrmNC7eCsOSSZ06z874yg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81</v>
      </c>
      <c r="D13" s="169"/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81+17902</f>
        <v>17983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3gBq47Lh/hCcFVXytieR8lKsGUIsjxi8iFZKTwtpqCzj2/WIQRaKr9rk43bXsNyvNedyRGNl7GbV2lEqLvAZzA==" saltValue="6rqc1Hj61ZoQG1GlnWclI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2023-05-01T09:37:31Z</dcterms:modified>
</cp:coreProperties>
</file>